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5A7A7362-7D4E-46CC-AA35-46C1D1D90789}" xr6:coauthVersionLast="47" xr6:coauthVersionMax="47" xr10:uidLastSave="{00000000-0000-0000-0000-000000000000}"/>
  <bookViews>
    <workbookView xWindow="-108" yWindow="-108" windowWidth="23256" windowHeight="12456" tabRatio="783" activeTab="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11" r:id="rId6"/>
    <sheet name="CV Año" sheetId="12" r:id="rId7"/>
    <sheet name="Operaciones (mes)" sheetId="13" r:id="rId8"/>
    <sheet name="Titulos (mes)" sheetId="14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(mes)'!$A$1:$L$37</definedName>
    <definedName name="_xlnm.Print_Area" localSheetId="3">Titulos!$B$2:$I$60</definedName>
    <definedName name="_xlnm.Print_Area" localSheetId="8">'Titulos (mes)'!$B$1:$G$37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9" i="6" l="1"/>
  <c r="D16" i="5"/>
  <c r="D11" i="5"/>
  <c r="D8" i="5"/>
  <c r="E34" i="7" l="1"/>
  <c r="E33" i="7"/>
  <c r="D34" i="7"/>
  <c r="D33" i="7"/>
  <c r="E6" i="7" l="1"/>
  <c r="E5" i="7"/>
  <c r="D6" i="7"/>
  <c r="D5" i="7"/>
  <c r="D44" i="4"/>
  <c r="F35" i="14" l="1"/>
  <c r="F37" i="14" s="1"/>
  <c r="C35" i="14"/>
  <c r="C37" i="14" s="1"/>
  <c r="F9" i="14"/>
  <c r="C9" i="14"/>
  <c r="L505" i="13"/>
  <c r="K505" i="13"/>
  <c r="J505" i="13"/>
  <c r="I505" i="13"/>
  <c r="L470" i="13"/>
  <c r="K470" i="13"/>
  <c r="J470" i="13"/>
  <c r="I470" i="13"/>
  <c r="L467" i="13"/>
  <c r="K467" i="13"/>
  <c r="J467" i="13"/>
  <c r="I467" i="13"/>
  <c r="L461" i="13"/>
  <c r="K461" i="13"/>
  <c r="J461" i="13"/>
  <c r="I461" i="13"/>
  <c r="L451" i="13"/>
  <c r="K451" i="13"/>
  <c r="J451" i="13"/>
  <c r="I451" i="13"/>
  <c r="L392" i="13"/>
  <c r="K392" i="13"/>
  <c r="J392" i="13"/>
  <c r="I392" i="13"/>
  <c r="L369" i="13"/>
  <c r="K369" i="13"/>
  <c r="J369" i="13"/>
  <c r="I369" i="13"/>
  <c r="L342" i="13"/>
  <c r="K342" i="13"/>
  <c r="J342" i="13"/>
  <c r="I342" i="13"/>
  <c r="L338" i="13"/>
  <c r="K338" i="13"/>
  <c r="J338" i="13"/>
  <c r="I338" i="13"/>
  <c r="L335" i="13"/>
  <c r="K335" i="13"/>
  <c r="J335" i="13"/>
  <c r="I335" i="13"/>
  <c r="L313" i="13"/>
  <c r="K313" i="13"/>
  <c r="J313" i="13"/>
  <c r="I313" i="13"/>
  <c r="L309" i="13"/>
  <c r="K309" i="13"/>
  <c r="J309" i="13"/>
  <c r="I309" i="13"/>
  <c r="L234" i="13"/>
  <c r="K234" i="13"/>
  <c r="J234" i="13"/>
  <c r="I234" i="13"/>
  <c r="L176" i="13"/>
  <c r="K176" i="13"/>
  <c r="J176" i="13"/>
  <c r="I176" i="13"/>
  <c r="L161" i="13"/>
  <c r="K161" i="13"/>
  <c r="J161" i="13"/>
  <c r="I161" i="13"/>
  <c r="L113" i="13"/>
  <c r="K113" i="13"/>
  <c r="J113" i="13"/>
  <c r="I113" i="13"/>
  <c r="L109" i="13"/>
  <c r="K109" i="13"/>
  <c r="J109" i="13"/>
  <c r="I109" i="13"/>
  <c r="L96" i="13"/>
  <c r="K96" i="13"/>
  <c r="J96" i="13"/>
  <c r="I96" i="13"/>
  <c r="L88" i="13"/>
  <c r="K88" i="13"/>
  <c r="J88" i="13"/>
  <c r="I88" i="13"/>
  <c r="L77" i="13"/>
  <c r="K77" i="13"/>
  <c r="J77" i="13"/>
  <c r="I77" i="13"/>
  <c r="L71" i="13"/>
  <c r="K71" i="13"/>
  <c r="J71" i="13"/>
  <c r="I71" i="13"/>
  <c r="L68" i="13"/>
  <c r="K68" i="13"/>
  <c r="J68" i="13"/>
  <c r="J507" i="13" s="1"/>
  <c r="I68" i="13"/>
  <c r="I507" i="13" s="1"/>
  <c r="L64" i="13"/>
  <c r="L507" i="13" s="1"/>
  <c r="L513" i="13" s="1"/>
  <c r="K64" i="13"/>
  <c r="K507" i="13" s="1"/>
  <c r="K513" i="13" s="1"/>
  <c r="J64" i="13"/>
  <c r="I64" i="13"/>
  <c r="L49" i="13"/>
  <c r="J49" i="13"/>
  <c r="I49" i="13"/>
  <c r="K47" i="13"/>
  <c r="K49" i="13" s="1"/>
  <c r="L43" i="13"/>
  <c r="J43" i="13"/>
  <c r="I43" i="13"/>
  <c r="K41" i="13"/>
  <c r="K43" i="13" s="1"/>
  <c r="K37" i="13"/>
  <c r="K53" i="13" s="1"/>
  <c r="J37" i="13"/>
  <c r="J53" i="13" s="1"/>
  <c r="I37" i="13"/>
  <c r="H33" i="13"/>
  <c r="G33" i="13"/>
  <c r="G32" i="13"/>
  <c r="H31" i="13"/>
  <c r="G31" i="13"/>
  <c r="H30" i="13"/>
  <c r="G30" i="13"/>
  <c r="G29" i="13"/>
  <c r="H28" i="13"/>
  <c r="G28" i="13"/>
  <c r="H27" i="13"/>
  <c r="G27" i="13"/>
  <c r="H26" i="13"/>
  <c r="G26" i="13"/>
  <c r="G25" i="13"/>
  <c r="L18" i="13"/>
  <c r="L37" i="13" s="1"/>
  <c r="L53" i="13" s="1"/>
  <c r="K18" i="13"/>
  <c r="J18" i="13"/>
  <c r="I18" i="13"/>
  <c r="H17" i="13"/>
  <c r="G17" i="13"/>
  <c r="H16" i="13"/>
  <c r="G16" i="13"/>
  <c r="G15" i="13"/>
  <c r="G14" i="13"/>
  <c r="G13" i="13"/>
  <c r="H12" i="13"/>
  <c r="G12" i="13"/>
  <c r="H11" i="13"/>
  <c r="G11" i="13"/>
  <c r="G10" i="13"/>
  <c r="G9" i="13"/>
  <c r="O47" i="12"/>
  <c r="N47" i="12"/>
  <c r="L47" i="12"/>
  <c r="J47" i="12"/>
  <c r="I47" i="12"/>
  <c r="H47" i="12"/>
  <c r="F47" i="12"/>
  <c r="D47" i="12"/>
  <c r="I42" i="12"/>
  <c r="O34" i="12"/>
  <c r="O53" i="12" s="1"/>
  <c r="N34" i="12"/>
  <c r="L34" i="12"/>
  <c r="J34" i="12"/>
  <c r="H34" i="12"/>
  <c r="H53" i="12" s="1"/>
  <c r="I31" i="12" s="1"/>
  <c r="F34" i="12"/>
  <c r="F53" i="12" s="1"/>
  <c r="D34" i="12"/>
  <c r="I29" i="12"/>
  <c r="I28" i="12"/>
  <c r="I24" i="12"/>
  <c r="I23" i="12"/>
  <c r="I19" i="12"/>
  <c r="I16" i="12"/>
  <c r="I12" i="12"/>
  <c r="I11" i="12"/>
  <c r="I9" i="12"/>
  <c r="O53" i="11"/>
  <c r="O47" i="11"/>
  <c r="N47" i="11"/>
  <c r="L47" i="11"/>
  <c r="J47" i="11"/>
  <c r="H47" i="11"/>
  <c r="F47" i="11"/>
  <c r="G47" i="11" s="1"/>
  <c r="D47" i="11"/>
  <c r="O34" i="11"/>
  <c r="N34" i="11"/>
  <c r="N53" i="11" s="1"/>
  <c r="L34" i="11"/>
  <c r="J34" i="11"/>
  <c r="J53" i="11" s="1"/>
  <c r="H34" i="11"/>
  <c r="H53" i="11" s="1"/>
  <c r="F34" i="11"/>
  <c r="F53" i="11" s="1"/>
  <c r="G11" i="11" s="1"/>
  <c r="D34" i="11"/>
  <c r="G28" i="12" l="1"/>
  <c r="G23" i="12"/>
  <c r="G11" i="12"/>
  <c r="G22" i="12"/>
  <c r="G10" i="12"/>
  <c r="G21" i="12"/>
  <c r="G9" i="12"/>
  <c r="G42" i="12"/>
  <c r="G41" i="12"/>
  <c r="G40" i="12"/>
  <c r="G17" i="12"/>
  <c r="G39" i="12"/>
  <c r="G14" i="12"/>
  <c r="G24" i="12"/>
  <c r="G12" i="12"/>
  <c r="N53" i="12"/>
  <c r="I6" i="12"/>
  <c r="I17" i="12"/>
  <c r="I30" i="12"/>
  <c r="I7" i="12"/>
  <c r="I18" i="12"/>
  <c r="G34" i="12"/>
  <c r="I34" i="12"/>
  <c r="I53" i="12" s="1"/>
  <c r="K47" i="12"/>
  <c r="J53" i="12"/>
  <c r="K26" i="12" s="1"/>
  <c r="I43" i="11"/>
  <c r="I30" i="11"/>
  <c r="K10" i="11"/>
  <c r="K13" i="11"/>
  <c r="K24" i="11"/>
  <c r="K7" i="11"/>
  <c r="K39" i="11"/>
  <c r="G30" i="11"/>
  <c r="G14" i="11"/>
  <c r="G40" i="11"/>
  <c r="G18" i="11"/>
  <c r="G31" i="11"/>
  <c r="G20" i="11"/>
  <c r="G44" i="11"/>
  <c r="I34" i="11"/>
  <c r="G24" i="11"/>
  <c r="G8" i="11"/>
  <c r="L53" i="11"/>
  <c r="M16" i="11" s="1"/>
  <c r="I47" i="11"/>
  <c r="J513" i="13"/>
  <c r="D23" i="14"/>
  <c r="D16" i="14"/>
  <c r="D15" i="14"/>
  <c r="D14" i="14"/>
  <c r="D31" i="14"/>
  <c r="D25" i="14"/>
  <c r="D19" i="14"/>
  <c r="D13" i="14"/>
  <c r="D7" i="14"/>
  <c r="D37" i="14"/>
  <c r="D17" i="14"/>
  <c r="D8" i="14"/>
  <c r="D21" i="14"/>
  <c r="D30" i="14"/>
  <c r="D24" i="14"/>
  <c r="D18" i="14"/>
  <c r="D12" i="14"/>
  <c r="D29" i="14"/>
  <c r="D34" i="14"/>
  <c r="D33" i="14"/>
  <c r="D26" i="14"/>
  <c r="D28" i="14"/>
  <c r="D22" i="14"/>
  <c r="D27" i="14"/>
  <c r="D32" i="14"/>
  <c r="D20" i="14"/>
  <c r="D6" i="14"/>
  <c r="G37" i="14"/>
  <c r="G31" i="14"/>
  <c r="G25" i="14"/>
  <c r="G19" i="14"/>
  <c r="G13" i="14"/>
  <c r="G22" i="14"/>
  <c r="G7" i="14"/>
  <c r="G34" i="14"/>
  <c r="G21" i="14"/>
  <c r="G20" i="14"/>
  <c r="G30" i="14"/>
  <c r="G24" i="14"/>
  <c r="G18" i="14"/>
  <c r="G12" i="14"/>
  <c r="G28" i="14"/>
  <c r="G15" i="14"/>
  <c r="G14" i="14"/>
  <c r="G16" i="14"/>
  <c r="G27" i="14"/>
  <c r="G26" i="14"/>
  <c r="G29" i="14"/>
  <c r="G23" i="14"/>
  <c r="G17" i="14"/>
  <c r="G8" i="14"/>
  <c r="G33" i="14"/>
  <c r="G32" i="14"/>
  <c r="G6" i="14"/>
  <c r="I53" i="11"/>
  <c r="I8" i="11"/>
  <c r="K14" i="11"/>
  <c r="G39" i="11"/>
  <c r="G21" i="11"/>
  <c r="G9" i="11"/>
  <c r="G28" i="11"/>
  <c r="G16" i="11"/>
  <c r="G45" i="11"/>
  <c r="G27" i="11"/>
  <c r="G15" i="11"/>
  <c r="G10" i="11"/>
  <c r="G7" i="11"/>
  <c r="G42" i="11"/>
  <c r="G29" i="11"/>
  <c r="G26" i="11"/>
  <c r="G13" i="11"/>
  <c r="G32" i="11"/>
  <c r="G22" i="11"/>
  <c r="G19" i="11"/>
  <c r="G6" i="11"/>
  <c r="G41" i="11"/>
  <c r="G25" i="11"/>
  <c r="G12" i="11"/>
  <c r="K40" i="11"/>
  <c r="K8" i="11"/>
  <c r="I21" i="11"/>
  <c r="I27" i="11"/>
  <c r="G34" i="11"/>
  <c r="G53" i="11" s="1"/>
  <c r="K31" i="12"/>
  <c r="K21" i="11"/>
  <c r="K27" i="11"/>
  <c r="K42" i="11"/>
  <c r="K47" i="11"/>
  <c r="K53" i="11" s="1"/>
  <c r="G17" i="11"/>
  <c r="G23" i="11"/>
  <c r="G43" i="11"/>
  <c r="K12" i="12"/>
  <c r="I24" i="11"/>
  <c r="K41" i="11"/>
  <c r="K23" i="11"/>
  <c r="K11" i="11"/>
  <c r="K30" i="11"/>
  <c r="K18" i="11"/>
  <c r="K6" i="11"/>
  <c r="K29" i="11"/>
  <c r="K17" i="11"/>
  <c r="K45" i="11"/>
  <c r="K32" i="11"/>
  <c r="K19" i="11"/>
  <c r="K16" i="11"/>
  <c r="K25" i="11"/>
  <c r="K22" i="11"/>
  <c r="K12" i="11"/>
  <c r="K9" i="11"/>
  <c r="K44" i="11"/>
  <c r="K31" i="11"/>
  <c r="K28" i="11"/>
  <c r="K15" i="11"/>
  <c r="K26" i="11"/>
  <c r="K16" i="12"/>
  <c r="K30" i="12"/>
  <c r="I14" i="11"/>
  <c r="I17" i="11"/>
  <c r="I28" i="11"/>
  <c r="I16" i="11"/>
  <c r="I41" i="11"/>
  <c r="I23" i="11"/>
  <c r="I11" i="11"/>
  <c r="I40" i="11"/>
  <c r="I22" i="11"/>
  <c r="I10" i="11"/>
  <c r="I42" i="11"/>
  <c r="I39" i="11"/>
  <c r="I29" i="11"/>
  <c r="I26" i="11"/>
  <c r="I13" i="11"/>
  <c r="I45" i="11"/>
  <c r="I32" i="11"/>
  <c r="I19" i="11"/>
  <c r="I6" i="11"/>
  <c r="I25" i="11"/>
  <c r="I12" i="11"/>
  <c r="I9" i="11"/>
  <c r="I44" i="11"/>
  <c r="I31" i="11"/>
  <c r="I18" i="11"/>
  <c r="I15" i="11"/>
  <c r="K32" i="12"/>
  <c r="K20" i="12"/>
  <c r="K8" i="12"/>
  <c r="K27" i="12"/>
  <c r="K15" i="12"/>
  <c r="K29" i="12"/>
  <c r="K40" i="12"/>
  <c r="K22" i="12"/>
  <c r="K10" i="12"/>
  <c r="K17" i="12"/>
  <c r="K39" i="12"/>
  <c r="K21" i="12"/>
  <c r="K9" i="12"/>
  <c r="K28" i="12"/>
  <c r="K41" i="12"/>
  <c r="K24" i="12"/>
  <c r="K7" i="12"/>
  <c r="K44" i="12"/>
  <c r="K19" i="12"/>
  <c r="K11" i="12"/>
  <c r="K23" i="12"/>
  <c r="K14" i="12"/>
  <c r="K6" i="12"/>
  <c r="K18" i="12"/>
  <c r="I7" i="11"/>
  <c r="D53" i="11"/>
  <c r="E34" i="11" s="1"/>
  <c r="E47" i="11"/>
  <c r="I20" i="11"/>
  <c r="K20" i="11"/>
  <c r="K13" i="12"/>
  <c r="K42" i="12"/>
  <c r="K43" i="11"/>
  <c r="K43" i="12"/>
  <c r="K34" i="11"/>
  <c r="M12" i="11"/>
  <c r="D53" i="12"/>
  <c r="E34" i="12" s="1"/>
  <c r="G30" i="12"/>
  <c r="G18" i="12"/>
  <c r="G6" i="12"/>
  <c r="G43" i="12"/>
  <c r="G25" i="12"/>
  <c r="G13" i="12"/>
  <c r="G15" i="12"/>
  <c r="G32" i="12"/>
  <c r="G20" i="12"/>
  <c r="G8" i="12"/>
  <c r="G45" i="12"/>
  <c r="G27" i="12"/>
  <c r="G31" i="12"/>
  <c r="G19" i="12"/>
  <c r="G7" i="12"/>
  <c r="G44" i="12"/>
  <c r="G26" i="12"/>
  <c r="G29" i="12"/>
  <c r="I43" i="12"/>
  <c r="I25" i="12"/>
  <c r="I13" i="12"/>
  <c r="I32" i="12"/>
  <c r="I20" i="12"/>
  <c r="I8" i="12"/>
  <c r="I45" i="12"/>
  <c r="I27" i="12"/>
  <c r="I15" i="12"/>
  <c r="I40" i="12"/>
  <c r="I22" i="12"/>
  <c r="I10" i="12"/>
  <c r="I44" i="12"/>
  <c r="I26" i="12"/>
  <c r="I14" i="12"/>
  <c r="I39" i="12"/>
  <c r="I21" i="12"/>
  <c r="I41" i="12"/>
  <c r="G16" i="12"/>
  <c r="G47" i="12"/>
  <c r="K34" i="12"/>
  <c r="L53" i="12"/>
  <c r="M34" i="12" s="1"/>
  <c r="M47" i="12" l="1"/>
  <c r="M53" i="12" s="1"/>
  <c r="K53" i="12"/>
  <c r="G53" i="12"/>
  <c r="K25" i="12"/>
  <c r="K45" i="12"/>
  <c r="M47" i="11"/>
  <c r="M41" i="11"/>
  <c r="M43" i="11"/>
  <c r="M34" i="11"/>
  <c r="M6" i="11"/>
  <c r="M31" i="11"/>
  <c r="M18" i="11"/>
  <c r="M22" i="11"/>
  <c r="M28" i="11"/>
  <c r="M30" i="11"/>
  <c r="M19" i="11"/>
  <c r="M15" i="11"/>
  <c r="M27" i="11"/>
  <c r="M26" i="11"/>
  <c r="M11" i="11"/>
  <c r="M45" i="11"/>
  <c r="M10" i="11"/>
  <c r="M23" i="11"/>
  <c r="M8" i="11"/>
  <c r="M21" i="11"/>
  <c r="M32" i="11"/>
  <c r="M17" i="11"/>
  <c r="M29" i="11"/>
  <c r="M20" i="11"/>
  <c r="M40" i="11"/>
  <c r="M39" i="11"/>
  <c r="M14" i="11"/>
  <c r="M7" i="11"/>
  <c r="M24" i="11"/>
  <c r="M9" i="11"/>
  <c r="M42" i="11"/>
  <c r="M13" i="11"/>
  <c r="M44" i="11"/>
  <c r="M25" i="11"/>
  <c r="E53" i="11"/>
  <c r="M45" i="12"/>
  <c r="M27" i="12"/>
  <c r="M15" i="12"/>
  <c r="M40" i="12"/>
  <c r="M22" i="12"/>
  <c r="M10" i="12"/>
  <c r="M29" i="12"/>
  <c r="M17" i="12"/>
  <c r="M42" i="12"/>
  <c r="M24" i="12"/>
  <c r="M12" i="12"/>
  <c r="M28" i="12"/>
  <c r="M16" i="12"/>
  <c r="M41" i="12"/>
  <c r="M23" i="12"/>
  <c r="M20" i="12"/>
  <c r="M7" i="12"/>
  <c r="M19" i="12"/>
  <c r="M11" i="12"/>
  <c r="M44" i="12"/>
  <c r="M14" i="12"/>
  <c r="M6" i="12"/>
  <c r="M18" i="12"/>
  <c r="M39" i="12"/>
  <c r="M32" i="12"/>
  <c r="M21" i="12"/>
  <c r="M13" i="12"/>
  <c r="M8" i="12"/>
  <c r="M43" i="12"/>
  <c r="M9" i="12"/>
  <c r="M26" i="12"/>
  <c r="M31" i="12"/>
  <c r="M25" i="12"/>
  <c r="M30" i="12"/>
  <c r="E41" i="12"/>
  <c r="E23" i="12"/>
  <c r="E11" i="12"/>
  <c r="E30" i="12"/>
  <c r="E18" i="12"/>
  <c r="E6" i="12"/>
  <c r="E20" i="12"/>
  <c r="E8" i="12"/>
  <c r="E43" i="12"/>
  <c r="E25" i="12"/>
  <c r="E13" i="12"/>
  <c r="E32" i="12"/>
  <c r="E42" i="12"/>
  <c r="E24" i="12"/>
  <c r="E12" i="12"/>
  <c r="E31" i="12"/>
  <c r="E16" i="12"/>
  <c r="E29" i="12"/>
  <c r="E15" i="12"/>
  <c r="E7" i="12"/>
  <c r="E45" i="12"/>
  <c r="E19" i="12"/>
  <c r="E40" i="12"/>
  <c r="E28" i="12"/>
  <c r="E10" i="12"/>
  <c r="E44" i="12"/>
  <c r="E22" i="12"/>
  <c r="E14" i="12"/>
  <c r="E9" i="12"/>
  <c r="E27" i="12"/>
  <c r="E21" i="12"/>
  <c r="E26" i="12"/>
  <c r="E39" i="12"/>
  <c r="E17" i="12"/>
  <c r="E44" i="11"/>
  <c r="E26" i="11"/>
  <c r="E14" i="11"/>
  <c r="E39" i="11"/>
  <c r="E21" i="11"/>
  <c r="E9" i="11"/>
  <c r="E32" i="11"/>
  <c r="E20" i="11"/>
  <c r="E8" i="11"/>
  <c r="E23" i="11"/>
  <c r="E41" i="11"/>
  <c r="E10" i="11"/>
  <c r="E7" i="11"/>
  <c r="E45" i="11"/>
  <c r="E42" i="11"/>
  <c r="E29" i="11"/>
  <c r="E16" i="11"/>
  <c r="E13" i="11"/>
  <c r="E22" i="11"/>
  <c r="E19" i="11"/>
  <c r="E6" i="11"/>
  <c r="E28" i="11"/>
  <c r="E25" i="11"/>
  <c r="E24" i="11"/>
  <c r="E40" i="11"/>
  <c r="E31" i="11"/>
  <c r="E18" i="11"/>
  <c r="E30" i="11"/>
  <c r="E11" i="11"/>
  <c r="E12" i="11"/>
  <c r="E43" i="11"/>
  <c r="E17" i="11"/>
  <c r="E15" i="11"/>
  <c r="E27" i="11"/>
  <c r="M53" i="11"/>
  <c r="E47" i="12"/>
  <c r="E53" i="12" s="1"/>
  <c r="C44" i="4" l="1"/>
  <c r="C16" i="4" l="1"/>
  <c r="L40" i="7" l="1"/>
  <c r="L39" i="7"/>
  <c r="L41" i="7" s="1"/>
  <c r="L34" i="7"/>
  <c r="L33" i="7"/>
  <c r="L35" i="7" s="1"/>
  <c r="L9" i="7"/>
  <c r="L8" i="7"/>
  <c r="L14" i="7"/>
  <c r="L13" i="7"/>
  <c r="F6" i="7"/>
  <c r="L15" i="7" s="1"/>
  <c r="F5" i="7"/>
  <c r="M39" i="6"/>
  <c r="N35" i="6" s="1"/>
  <c r="Q34" i="6"/>
  <c r="Q35" i="6"/>
  <c r="Q36" i="6"/>
  <c r="Q37" i="6"/>
  <c r="Q38" i="6"/>
  <c r="Q39" i="6"/>
  <c r="Q33" i="6"/>
  <c r="E13" i="5"/>
  <c r="F43" i="4"/>
  <c r="F15" i="4"/>
  <c r="G15" i="4" s="1"/>
  <c r="F42" i="4"/>
  <c r="J24" i="4"/>
  <c r="K26" i="4"/>
  <c r="J53" i="4"/>
  <c r="J52" i="4"/>
  <c r="K24" i="4"/>
  <c r="J25" i="4"/>
  <c r="N39" i="6" l="1"/>
  <c r="N38" i="6"/>
  <c r="N34" i="6"/>
  <c r="N37" i="6"/>
  <c r="N33" i="6"/>
  <c r="N36" i="6"/>
  <c r="K53" i="4"/>
  <c r="K25" i="4"/>
  <c r="K52" i="4"/>
  <c r="K54" i="4"/>
  <c r="F14" i="4"/>
  <c r="J26" i="4"/>
  <c r="F44" i="4"/>
  <c r="F16" i="4" l="1"/>
  <c r="G16" i="4" s="1"/>
  <c r="G14" i="4"/>
  <c r="F34" i="7"/>
  <c r="F33" i="7"/>
  <c r="E35" i="7"/>
  <c r="L45" i="7" s="1"/>
  <c r="D35" i="7"/>
  <c r="L44" i="7" s="1"/>
  <c r="F7" i="7"/>
  <c r="L20" i="7" s="1"/>
  <c r="E7" i="7"/>
  <c r="L19" i="7" s="1"/>
  <c r="D7" i="7"/>
  <c r="L18" i="7" s="1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0" i="6"/>
  <c r="G19" i="6"/>
  <c r="G18" i="6"/>
  <c r="G17" i="6"/>
  <c r="G16" i="6"/>
  <c r="G15" i="6"/>
  <c r="G13" i="6"/>
  <c r="G11" i="6"/>
  <c r="G10" i="6"/>
  <c r="G9" i="6"/>
  <c r="G7" i="6"/>
  <c r="G6" i="6"/>
  <c r="G5" i="6"/>
  <c r="E25" i="6"/>
  <c r="F20" i="6" s="1"/>
  <c r="C25" i="6"/>
  <c r="D21" i="6" s="1"/>
  <c r="E17" i="5"/>
  <c r="E16" i="5"/>
  <c r="E15" i="5"/>
  <c r="E14" i="5"/>
  <c r="E12" i="5"/>
  <c r="E11" i="5"/>
  <c r="E10" i="5"/>
  <c r="E9" i="5"/>
  <c r="E8" i="5"/>
  <c r="E7" i="5"/>
  <c r="G44" i="4"/>
  <c r="G43" i="4"/>
  <c r="G42" i="4"/>
  <c r="J54" i="4"/>
  <c r="F6" i="6" l="1"/>
  <c r="F9" i="6"/>
  <c r="F16" i="6"/>
  <c r="F7" i="6"/>
  <c r="F22" i="6"/>
  <c r="F15" i="6"/>
  <c r="F21" i="6"/>
  <c r="F5" i="6"/>
  <c r="F25" i="6" s="1"/>
  <c r="I25" i="6"/>
  <c r="F19" i="6"/>
  <c r="D10" i="6"/>
  <c r="D14" i="6"/>
  <c r="H25" i="6"/>
  <c r="D13" i="6"/>
  <c r="D23" i="6"/>
  <c r="G25" i="6"/>
  <c r="D11" i="6"/>
  <c r="D12" i="6"/>
  <c r="D22" i="6"/>
  <c r="F35" i="7"/>
  <c r="M18" i="7"/>
  <c r="F10" i="6"/>
  <c r="F23" i="6"/>
  <c r="F11" i="6"/>
  <c r="F12" i="6"/>
  <c r="F13" i="6"/>
  <c r="F14" i="6"/>
  <c r="F17" i="6"/>
  <c r="F18" i="6"/>
  <c r="D15" i="6"/>
  <c r="D16" i="6"/>
  <c r="D5" i="6"/>
  <c r="D17" i="6"/>
  <c r="D6" i="6"/>
  <c r="D18" i="6"/>
  <c r="D7" i="6"/>
  <c r="D19" i="6"/>
  <c r="D8" i="6"/>
  <c r="D20" i="6"/>
  <c r="D9" i="6"/>
  <c r="F8" i="6"/>
  <c r="D25" i="6" l="1"/>
  <c r="M39" i="7" l="1"/>
  <c r="L46" i="7"/>
  <c r="M45" i="7" s="1"/>
  <c r="G35" i="7"/>
  <c r="G34" i="7"/>
  <c r="M34" i="7"/>
  <c r="G33" i="7"/>
  <c r="M33" i="7"/>
  <c r="M19" i="7"/>
  <c r="G7" i="7"/>
  <c r="L10" i="7"/>
  <c r="M8" i="7" s="1"/>
  <c r="B37" i="4"/>
  <c r="G5" i="7" l="1"/>
  <c r="G6" i="7"/>
  <c r="M14" i="7"/>
  <c r="M13" i="7"/>
  <c r="M44" i="7"/>
  <c r="M40" i="7"/>
  <c r="M9" i="7"/>
</calcChain>
</file>

<file path=xl/sharedStrings.xml><?xml version="1.0" encoding="utf-8"?>
<sst xmlns="http://schemas.openxmlformats.org/spreadsheetml/2006/main" count="1936" uniqueCount="533">
  <si>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</si>
  <si>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</si>
  <si>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</si>
  <si>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</si>
  <si>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</si>
  <si>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</si>
  <si>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</si>
  <si>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</si>
  <si>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</si>
  <si>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</si>
  <si>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</si>
  <si>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</si>
  <si>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</si>
  <si>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</si>
  <si>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</si>
  <si>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</si>
  <si>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</si>
  <si>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</si>
  <si>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</si>
  <si>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</si>
  <si>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</si>
  <si>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</si>
  <si>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</si>
  <si>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</si>
  <si>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</si>
  <si>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</si>
  <si>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</si>
  <si>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</si>
  <si>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</si>
  <si>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</si>
  <si>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</si>
  <si>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</si>
  <si>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</si>
  <si>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</si>
  <si>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</si>
  <si>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</si>
  <si>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</si>
  <si>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</si>
  <si>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</si>
  <si>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</si>
  <si>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</si>
  <si>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</si>
  <si>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</si>
  <si>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</si>
  <si>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</si>
  <si>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</si>
  <si>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</si>
  <si>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</si>
  <si>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</si>
  <si>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</si>
  <si>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</si>
  <si>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</si>
  <si>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</si>
  <si>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</si>
  <si>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</si>
  <si>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</si>
  <si>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</si>
  <si>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</si>
  <si>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</si>
  <si>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</si>
  <si>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</si>
  <si>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</si>
  <si>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</si>
  <si>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</si>
  <si>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</si>
  <si>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</si>
  <si>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</si>
  <si>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</si>
  <si>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</si>
  <si>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</si>
  <si>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</si>
  <si>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</si>
  <si>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</si>
  <si>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</si>
  <si>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</si>
  <si>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</si>
  <si>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</si>
  <si>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</si>
  <si>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</si>
  <si>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</si>
  <si>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</si>
  <si>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</si>
  <si>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</si>
  <si>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</si>
  <si>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</si>
  <si>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</si>
  <si>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</si>
  <si>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</si>
  <si>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</si>
  <si>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</si>
  <si>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</si>
  <si>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</si>
  <si>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</si>
  <si>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</si>
  <si>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</si>
  <si>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</si>
  <si>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</si>
  <si>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</si>
  <si>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</si>
  <si>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</si>
  <si>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</si>
  <si>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</si>
  <si>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</si>
  <si>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</si>
  <si>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</si>
  <si>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</si>
  <si>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</si>
  <si>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</si>
  <si>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</si>
  <si>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</si>
  <si>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</si>
  <si>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</si>
  <si>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</si>
  <si>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</si>
  <si>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</si>
  <si>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</si>
  <si>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</si>
  <si>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</si>
  <si>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</si>
  <si>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</si>
  <si>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</si>
  <si>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</si>
  <si>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</si>
  <si>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</si>
  <si>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</si>
  <si>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</si>
  <si>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</si>
  <si>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</si>
  <si>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</si>
  <si>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Equity Casa de Valores S.A.</t>
  </si>
  <si>
    <t>Banco Central del Ecuador</t>
  </si>
  <si>
    <t>COMPORTAMIENTO COMPARATIVO 2024 VS 2023</t>
  </si>
  <si>
    <t>Valor Efectivo 2024</t>
  </si>
  <si>
    <t>Promedio Diario 2024</t>
  </si>
  <si>
    <t>COTIZACIONES OFICIALES*</t>
  </si>
  <si>
    <t>EMISOR</t>
  </si>
  <si>
    <t>V.N.UNIT.</t>
  </si>
  <si>
    <t xml:space="preserve">   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</si>
  <si>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</si>
  <si>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</si>
  <si>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</si>
  <si>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</si>
  <si>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</si>
  <si>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</si>
  <si>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</si>
  <si>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</si>
  <si>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 xml:space="preserve">ACCIONES                                </t>
  </si>
  <si>
    <t>BANCO GUAYAQUIL</t>
  </si>
  <si>
    <t>BANCO PICHINCHA</t>
  </si>
  <si>
    <t>CERVECERIA NACIONAL CN</t>
  </si>
  <si>
    <t>CORPORACION FAVORITA</t>
  </si>
  <si>
    <t>PRODUBANCO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</si>
  <si>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</si>
  <si>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</si>
  <si>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</si>
  <si>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ULTIMO</t>
  </si>
  <si>
    <t>NATLUK</t>
  </si>
  <si>
    <t>SOC.AGR.IND."SAN CARLOS"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</si>
  <si>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</si>
  <si>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</si>
  <si>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</si>
  <si>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</si>
  <si>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</si>
  <si>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</si>
  <si>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</si>
  <si>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</si>
  <si>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TEA/TIR</t>
  </si>
  <si>
    <t xml:space="preserve">AVAL BANCARIO </t>
  </si>
  <si>
    <t xml:space="preserve">BANCO GUAYAQUIL </t>
  </si>
  <si>
    <t>$</t>
  </si>
  <si>
    <t>(1)</t>
  </si>
  <si>
    <t xml:space="preserve">   335 D  </t>
  </si>
  <si>
    <t xml:space="preserve">   292 D  </t>
  </si>
  <si>
    <t xml:space="preserve">BANCO DEL PACIFICO </t>
  </si>
  <si>
    <t xml:space="preserve">           </t>
  </si>
  <si>
    <t xml:space="preserve">BONO ACTA RESOLUTIVA 032-2019           </t>
  </si>
  <si>
    <t>MINISTERIO DE ECONOMIA Y FINANZAS</t>
  </si>
  <si>
    <t xml:space="preserve">   366 D  </t>
  </si>
  <si>
    <t>(2)</t>
  </si>
  <si>
    <t>BONO ACTA RESOLUTIVA 002-2022 -JUBILADOS</t>
  </si>
  <si>
    <t xml:space="preserve">BONO RESOLUCION CDF-2023-0001           </t>
  </si>
  <si>
    <t xml:space="preserve">    70 D  </t>
  </si>
  <si>
    <t xml:space="preserve">BONO RESOLUCION CDF-2023-0001 JUBILADOS </t>
  </si>
  <si>
    <t xml:space="preserve">CERT.TESORERIA NACIONAL    </t>
  </si>
  <si>
    <t xml:space="preserve">    31 D  </t>
  </si>
  <si>
    <t xml:space="preserve">    30 D  </t>
  </si>
  <si>
    <t xml:space="preserve">    32 D  </t>
  </si>
  <si>
    <t xml:space="preserve">    34 D  </t>
  </si>
  <si>
    <t xml:space="preserve">    90 D  </t>
  </si>
  <si>
    <t xml:space="preserve">    91 D  </t>
  </si>
  <si>
    <t xml:space="preserve">   120 D  </t>
  </si>
  <si>
    <t xml:space="preserve">   357 D  </t>
  </si>
  <si>
    <t xml:space="preserve">LETRAS DE CAMBIO           </t>
  </si>
  <si>
    <t>BANCO INTERNACIONAL</t>
  </si>
  <si>
    <t xml:space="preserve">   272 D  </t>
  </si>
  <si>
    <t xml:space="preserve">BANCO GENERAL RUMIÑAHUI </t>
  </si>
  <si>
    <t xml:space="preserve">   362 D  </t>
  </si>
  <si>
    <t>NOTA DE CREDITO</t>
  </si>
  <si>
    <t>SERVICIO DE RENTAS INTERNAS</t>
  </si>
  <si>
    <t xml:space="preserve">NOTA DE CREDITO ISD        </t>
  </si>
  <si>
    <t xml:space="preserve">OBLIGACIONES  </t>
  </si>
  <si>
    <t>RIPCONCIV CONSTRUCCIONES CIVILES</t>
  </si>
  <si>
    <t>PROMOTORES INMOBILIARIOS PRONOBIS</t>
  </si>
  <si>
    <t>PLASTICOS DEL LITORAL</t>
  </si>
  <si>
    <t>ADITIVOS Y ALIMENTOS  ADILISA</t>
  </si>
  <si>
    <t xml:space="preserve">ENVASES DEL LITORAL </t>
  </si>
  <si>
    <t xml:space="preserve">INMOBILIARIA LAVIE </t>
  </si>
  <si>
    <t xml:space="preserve">SUPERDEPORTE </t>
  </si>
  <si>
    <t>TIENDAS INDUSTRIALES ASOCIADAS (TIA)</t>
  </si>
  <si>
    <t xml:space="preserve">ALMACENES BOYACA </t>
  </si>
  <si>
    <t xml:space="preserve">BASESURCORP </t>
  </si>
  <si>
    <t xml:space="preserve">LIRIS </t>
  </si>
  <si>
    <t xml:space="preserve">DIPAC MANTA </t>
  </si>
  <si>
    <t>EDIMCA</t>
  </si>
  <si>
    <t xml:space="preserve"> 1,425 D  </t>
  </si>
  <si>
    <t xml:space="preserve">CORPORACION EL ROSADO </t>
  </si>
  <si>
    <t xml:space="preserve">RYC </t>
  </si>
  <si>
    <t xml:space="preserve">GALARMOBIL </t>
  </si>
  <si>
    <t xml:space="preserve">MINUTOCORP </t>
  </si>
  <si>
    <t>EMPAGRAN</t>
  </si>
  <si>
    <t xml:space="preserve">   731 D  </t>
  </si>
  <si>
    <t>ENERGYCONTROL</t>
  </si>
  <si>
    <t>CORPORACION NEXUM NEXUMCORP</t>
  </si>
  <si>
    <t>CORPETROLSA</t>
  </si>
  <si>
    <t xml:space="preserve">MARTE INDUSTRIAS </t>
  </si>
  <si>
    <t xml:space="preserve">BANCO DEL AUSTRO </t>
  </si>
  <si>
    <t xml:space="preserve">PAPEL COMERCIAL CERO CUPON </t>
  </si>
  <si>
    <t xml:space="preserve">SURPAPELCORP </t>
  </si>
  <si>
    <t xml:space="preserve">INDUSTRIAS CATEDRAL </t>
  </si>
  <si>
    <t xml:space="preserve">   181 D  </t>
  </si>
  <si>
    <t xml:space="preserve">   265 D  </t>
  </si>
  <si>
    <t xml:space="preserve">   180 D  </t>
  </si>
  <si>
    <t xml:space="preserve">   200 D  </t>
  </si>
  <si>
    <t xml:space="preserve">   358 D  </t>
  </si>
  <si>
    <t xml:space="preserve">   359 D  </t>
  </si>
  <si>
    <t>CARTIMEX</t>
  </si>
  <si>
    <t xml:space="preserve">   182 D  </t>
  </si>
  <si>
    <t xml:space="preserve">   151 D  </t>
  </si>
  <si>
    <t xml:space="preserve">   174 D  </t>
  </si>
  <si>
    <t xml:space="preserve">   210 D  </t>
  </si>
  <si>
    <t xml:space="preserve">   195 D  </t>
  </si>
  <si>
    <t>INDUSTRIA ECUATORIANA DE CABLE</t>
  </si>
  <si>
    <t xml:space="preserve">    68 D  </t>
  </si>
  <si>
    <t>MAVESA</t>
  </si>
  <si>
    <t xml:space="preserve">   150 D  </t>
  </si>
  <si>
    <t xml:space="preserve">    94 D  </t>
  </si>
  <si>
    <t>DULCES, PASTELES Y TORTAS RADU</t>
  </si>
  <si>
    <t>ECO-KAKAO</t>
  </si>
  <si>
    <t>OBLIGACIONES SPLIT-UP TIPO 2</t>
  </si>
  <si>
    <t xml:space="preserve">   224 D  </t>
  </si>
  <si>
    <t xml:space="preserve"> 2,068 D  </t>
  </si>
  <si>
    <t xml:space="preserve">POLIZAS DE ACUMULACION     </t>
  </si>
  <si>
    <t xml:space="preserve">    84 D  </t>
  </si>
  <si>
    <t xml:space="preserve">    22 D  </t>
  </si>
  <si>
    <t xml:space="preserve">    28 D  </t>
  </si>
  <si>
    <t xml:space="preserve">CERTIFICADO DE INVERSION   </t>
  </si>
  <si>
    <t>BANECUADOR</t>
  </si>
  <si>
    <t>CORPORACION FINANCIERA NACIONAL</t>
  </si>
  <si>
    <t xml:space="preserve">    35 D  </t>
  </si>
  <si>
    <t xml:space="preserve">    41 D  </t>
  </si>
  <si>
    <t xml:space="preserve">    63 D  </t>
  </si>
  <si>
    <t xml:space="preserve">BANCO DINERS CLUB DEL ECUADOR </t>
  </si>
  <si>
    <t xml:space="preserve">    43 D  </t>
  </si>
  <si>
    <t xml:space="preserve">CERT. INVERSION DESMATERIALIZADO        </t>
  </si>
  <si>
    <t xml:space="preserve">BANCO BOLIVARIANO </t>
  </si>
  <si>
    <t xml:space="preserve">    81 D  </t>
  </si>
  <si>
    <t xml:space="preserve">    86 D  </t>
  </si>
  <si>
    <t xml:space="preserve">    95 D  </t>
  </si>
  <si>
    <t xml:space="preserve">   121 D  </t>
  </si>
  <si>
    <t xml:space="preserve">BANCO PICHINCHA </t>
  </si>
  <si>
    <t xml:space="preserve">   251 D  </t>
  </si>
  <si>
    <t xml:space="preserve">   364 D  </t>
  </si>
  <si>
    <t xml:space="preserve">   365 D  </t>
  </si>
  <si>
    <t xml:space="preserve">CERT. DEPOSITO A PLAZO     </t>
  </si>
  <si>
    <t xml:space="preserve">   363 D  </t>
  </si>
  <si>
    <t xml:space="preserve">    15 D  </t>
  </si>
  <si>
    <t>BANCO DE LOJA</t>
  </si>
  <si>
    <t xml:space="preserve">BANCO DE MACHALA </t>
  </si>
  <si>
    <t xml:space="preserve">    74 D  </t>
  </si>
  <si>
    <t xml:space="preserve">    69 D  </t>
  </si>
  <si>
    <t>BANCO DE DESARROLLO DEL ECUADOR</t>
  </si>
  <si>
    <t xml:space="preserve">VALORES TITULARIZACION CREDITICIA       </t>
  </si>
  <si>
    <t>FIDEICOMISO TITULARIZACION CARTERA CREDITO RETAIL I</t>
  </si>
  <si>
    <t xml:space="preserve">   270 D  </t>
  </si>
  <si>
    <t>FIDEICOMISO TITULARIZACIÓN CARTERA CREDITO RETAIL II</t>
  </si>
  <si>
    <t>FACTURA COMERCIAL NEGOCIABLE</t>
  </si>
  <si>
    <t>TOTAL RENTA FIJA</t>
  </si>
  <si>
    <r>
      <t xml:space="preserve">(1) TEA: </t>
    </r>
    <r>
      <rPr>
        <sz val="11"/>
        <rFont val="Arial"/>
        <family val="2"/>
      </rPr>
      <t>Tasa Efectiva Anual utilizada para papeles de Tipo I</t>
    </r>
  </si>
  <si>
    <r>
      <t xml:space="preserve">(2) TIR:  </t>
    </r>
    <r>
      <rPr>
        <sz val="11"/>
        <rFont val="Arial"/>
        <family val="2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</si>
  <si>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</si>
  <si>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</si>
  <si>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</si>
  <si>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</si>
  <si>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</si>
  <si>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</si>
  <si>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</si>
  <si>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MAXIMO</t>
  </si>
  <si>
    <t>MINIMO</t>
  </si>
  <si>
    <t>OPERACIONES SIN COTIZACIÓN</t>
  </si>
  <si>
    <t>PLAZO</t>
  </si>
  <si>
    <t>RENDIM</t>
  </si>
  <si>
    <t>TIPO</t>
  </si>
  <si>
    <t xml:space="preserve">          MONTO</t>
  </si>
  <si>
    <t xml:space="preserve">   V.NOMINAL</t>
  </si>
  <si>
    <t xml:space="preserve">     V.EFECTIVO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</si>
  <si>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Febrero de 2024 - No. 341</t>
    </r>
  </si>
  <si>
    <t>EN FEBRERO DE 2024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</si>
  <si>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Febrero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</si>
  <si>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Enero-Febrero 2024</t>
    </r>
  </si>
  <si>
    <t>BOLETÍN MENSUAL DE OPERACIONES
Febrero 2024</t>
  </si>
  <si>
    <t>CERRO VERDE FORESTAL</t>
  </si>
  <si>
    <t>LA CUMBRE FORESTAL</t>
  </si>
  <si>
    <t>LA ENSENADAFORESTAL</t>
  </si>
  <si>
    <t>RIO GRANDE FORESTAL</t>
  </si>
  <si>
    <t>TECAFORTUNA</t>
  </si>
  <si>
    <t>BANCO BOLIVARIANO</t>
  </si>
  <si>
    <t>BRIKAPITAL</t>
  </si>
  <si>
    <t>CUOTA DE PARTICIPACION</t>
  </si>
  <si>
    <t>FONDO COLECTIVO DE INVERSIÓN VANGUARDIA VERSÁTIL</t>
  </si>
  <si>
    <t>TOTAL CUOTA DE PARTICIPACION</t>
  </si>
  <si>
    <t>VALORES TITULARIZACION PARTICIPACION</t>
  </si>
  <si>
    <t>FIDEICOMISO TITULARIZACION OMNI HOSPITAL</t>
  </si>
  <si>
    <t>TOTAL VALORES TITULARIZACION PARTICIPACION</t>
  </si>
  <si>
    <t xml:space="preserve">   176 D  </t>
  </si>
  <si>
    <t xml:space="preserve">   281 D  </t>
  </si>
  <si>
    <t xml:space="preserve">   722 D  </t>
  </si>
  <si>
    <t xml:space="preserve">   735 D  </t>
  </si>
  <si>
    <t xml:space="preserve">BONO ACTA RESOLUTIVA 002-2021           </t>
  </si>
  <si>
    <t xml:space="preserve">    49 D  </t>
  </si>
  <si>
    <t xml:space="preserve"> 2,275 D  </t>
  </si>
  <si>
    <t xml:space="preserve"> 1,538 D  </t>
  </si>
  <si>
    <t xml:space="preserve"> 1,542 D  </t>
  </si>
  <si>
    <t xml:space="preserve"> 1,525 D  </t>
  </si>
  <si>
    <t xml:space="preserve">   738 D  </t>
  </si>
  <si>
    <t xml:space="preserve">   739 D  </t>
  </si>
  <si>
    <t xml:space="preserve">   740 D  </t>
  </si>
  <si>
    <t xml:space="preserve"> 1,498 D  </t>
  </si>
  <si>
    <t xml:space="preserve">   755 D  </t>
  </si>
  <si>
    <t xml:space="preserve"> 1,492 D  </t>
  </si>
  <si>
    <t xml:space="preserve"> 2,078 D  </t>
  </si>
  <si>
    <t xml:space="preserve"> 2,058 D  </t>
  </si>
  <si>
    <t xml:space="preserve"> 2,059 D  </t>
  </si>
  <si>
    <t xml:space="preserve"> 1,601 D  </t>
  </si>
  <si>
    <t xml:space="preserve">    14 D  </t>
  </si>
  <si>
    <t xml:space="preserve">    33 D  </t>
  </si>
  <si>
    <t xml:space="preserve">    39 D  </t>
  </si>
  <si>
    <t xml:space="preserve">    87 D  </t>
  </si>
  <si>
    <t xml:space="preserve">   977 D  </t>
  </si>
  <si>
    <t xml:space="preserve">   984 D  </t>
  </si>
  <si>
    <t>DUPOCSA PROTECTORES QUIMICOS</t>
  </si>
  <si>
    <t xml:space="preserve"> 1,112 D  </t>
  </si>
  <si>
    <t xml:space="preserve"> 1,069 D  </t>
  </si>
  <si>
    <t xml:space="preserve"> 1,238 D  </t>
  </si>
  <si>
    <t xml:space="preserve"> 1,022 D  </t>
  </si>
  <si>
    <t xml:space="preserve"> 1,039 D  </t>
  </si>
  <si>
    <t xml:space="preserve"> 1,046 D  </t>
  </si>
  <si>
    <t xml:space="preserve"> 1,303 D  </t>
  </si>
  <si>
    <t xml:space="preserve"> 1,566 D  </t>
  </si>
  <si>
    <t xml:space="preserve"> 1,408 D  </t>
  </si>
  <si>
    <t xml:space="preserve">   968 D  </t>
  </si>
  <si>
    <t xml:space="preserve"> 1,212 D  </t>
  </si>
  <si>
    <t xml:space="preserve"> 1,091 D  </t>
  </si>
  <si>
    <t xml:space="preserve"> 1,092 D  </t>
  </si>
  <si>
    <t xml:space="preserve"> 1,033 D  </t>
  </si>
  <si>
    <t xml:space="preserve"> 1,041 D  </t>
  </si>
  <si>
    <t xml:space="preserve">DOLTREX </t>
  </si>
  <si>
    <t xml:space="preserve"> 1,379 D  </t>
  </si>
  <si>
    <t xml:space="preserve">ASISERVY </t>
  </si>
  <si>
    <t xml:space="preserve"> 1,665 D  </t>
  </si>
  <si>
    <t xml:space="preserve">   450 D  </t>
  </si>
  <si>
    <t xml:space="preserve"> 2,902 D  </t>
  </si>
  <si>
    <t xml:space="preserve"> 1,499 D  </t>
  </si>
  <si>
    <t xml:space="preserve"> 3,301 D  </t>
  </si>
  <si>
    <t xml:space="preserve"> 1,519 D  </t>
  </si>
  <si>
    <t xml:space="preserve"> 1,510 D  </t>
  </si>
  <si>
    <t xml:space="preserve"> 1,224 D  </t>
  </si>
  <si>
    <t xml:space="preserve"> 1,783 D  </t>
  </si>
  <si>
    <t xml:space="preserve"> 1,406 D  </t>
  </si>
  <si>
    <t xml:space="preserve"> 1,415 D  </t>
  </si>
  <si>
    <t xml:space="preserve">   981 D  </t>
  </si>
  <si>
    <t xml:space="preserve"> 1,397 D  </t>
  </si>
  <si>
    <t>COMPUTADORES Y EQUIPOS COMPUEQUIPDOS</t>
  </si>
  <si>
    <t xml:space="preserve"> 1,515 D  </t>
  </si>
  <si>
    <t xml:space="preserve"> 1,757 D  </t>
  </si>
  <si>
    <t xml:space="preserve">HUMANITAS </t>
  </si>
  <si>
    <t xml:space="preserve"> 1,189 D  </t>
  </si>
  <si>
    <t xml:space="preserve"> 1,191 D  </t>
  </si>
  <si>
    <t xml:space="preserve"> 1,084 D  </t>
  </si>
  <si>
    <t xml:space="preserve"> 1,587 D  </t>
  </si>
  <si>
    <t xml:space="preserve"> 1,610 D  </t>
  </si>
  <si>
    <t xml:space="preserve"> 1,068 D  </t>
  </si>
  <si>
    <t xml:space="preserve"> 1,071 D  </t>
  </si>
  <si>
    <t xml:space="preserve"> 1,076 D  </t>
  </si>
  <si>
    <t xml:space="preserve"> 1,096 D  </t>
  </si>
  <si>
    <t xml:space="preserve"> 1,036 D  </t>
  </si>
  <si>
    <t xml:space="preserve"> 1,776 D  </t>
  </si>
  <si>
    <t xml:space="preserve">DITECA </t>
  </si>
  <si>
    <t xml:space="preserve">   974 D  </t>
  </si>
  <si>
    <t>FORMAPER</t>
  </si>
  <si>
    <t xml:space="preserve"> 2,134 D  </t>
  </si>
  <si>
    <t xml:space="preserve"> 1,465 D  </t>
  </si>
  <si>
    <t xml:space="preserve"> 1,687 D  </t>
  </si>
  <si>
    <t xml:space="preserve"> 1,696 D  </t>
  </si>
  <si>
    <t xml:space="preserve"> 1,709 D  </t>
  </si>
  <si>
    <t xml:space="preserve">ECUAHIELO </t>
  </si>
  <si>
    <t xml:space="preserve">   707 D  </t>
  </si>
  <si>
    <t xml:space="preserve">INTEROC </t>
  </si>
  <si>
    <t xml:space="preserve">   205 D  </t>
  </si>
  <si>
    <t xml:space="preserve">   218 D  </t>
  </si>
  <si>
    <t xml:space="preserve">ARTES GRAFICAS SENEFELDER </t>
  </si>
  <si>
    <t xml:space="preserve">   102 D  </t>
  </si>
  <si>
    <t xml:space="preserve">   159 D  </t>
  </si>
  <si>
    <t xml:space="preserve">    10 D  </t>
  </si>
  <si>
    <t xml:space="preserve">    71 D  </t>
  </si>
  <si>
    <t xml:space="preserve">   258 D  </t>
  </si>
  <si>
    <t>FUROIANI OBRAS Y PROYECTOS</t>
  </si>
  <si>
    <t xml:space="preserve">    62 D  </t>
  </si>
  <si>
    <t xml:space="preserve">    47 D  </t>
  </si>
  <si>
    <t xml:space="preserve">    52 D  </t>
  </si>
  <si>
    <t xml:space="preserve">   145 D  </t>
  </si>
  <si>
    <t xml:space="preserve">   271 D  </t>
  </si>
  <si>
    <t xml:space="preserve">   160 D  </t>
  </si>
  <si>
    <t xml:space="preserve">NATLUK </t>
  </si>
  <si>
    <t xml:space="preserve">    46 D  </t>
  </si>
  <si>
    <t xml:space="preserve">   186 D  </t>
  </si>
  <si>
    <t xml:space="preserve">    53 D  </t>
  </si>
  <si>
    <t xml:space="preserve">    54 D  </t>
  </si>
  <si>
    <t xml:space="preserve">    60 D  </t>
  </si>
  <si>
    <t xml:space="preserve">    93 D  </t>
  </si>
  <si>
    <t xml:space="preserve">   240 D  </t>
  </si>
  <si>
    <t xml:space="preserve">   111 D  </t>
  </si>
  <si>
    <t xml:space="preserve">    66 D  </t>
  </si>
  <si>
    <t>BIOALIMENTAR</t>
  </si>
  <si>
    <t xml:space="preserve">PAPEL COMERCIAL CON INTERES TIPO 1      </t>
  </si>
  <si>
    <t xml:space="preserve">STARCARGO </t>
  </si>
  <si>
    <t xml:space="preserve">   106 D  </t>
  </si>
  <si>
    <t>FABRICA DE DILUYENTES Y ADHESIVOS DISTHER</t>
  </si>
  <si>
    <t xml:space="preserve">    17 D  </t>
  </si>
  <si>
    <t xml:space="preserve">UNIVERSAL SWEET INDUSTRIES </t>
  </si>
  <si>
    <t xml:space="preserve">   207 D  </t>
  </si>
  <si>
    <t xml:space="preserve">   285 D  </t>
  </si>
  <si>
    <t xml:space="preserve">   538 D  </t>
  </si>
  <si>
    <t xml:space="preserve">   564 D  </t>
  </si>
  <si>
    <t xml:space="preserve"> 1,117 D  </t>
  </si>
  <si>
    <t xml:space="preserve"> 2,384 D  </t>
  </si>
  <si>
    <t xml:space="preserve">   332 D  </t>
  </si>
  <si>
    <t xml:space="preserve">   423 D  </t>
  </si>
  <si>
    <t xml:space="preserve">   231 D  </t>
  </si>
  <si>
    <t xml:space="preserve">   503 D  </t>
  </si>
  <si>
    <t xml:space="preserve">   594 D  </t>
  </si>
  <si>
    <t xml:space="preserve">   370 D  </t>
  </si>
  <si>
    <t xml:space="preserve"> 1,270 D  </t>
  </si>
  <si>
    <t xml:space="preserve">   391 D  </t>
  </si>
  <si>
    <t xml:space="preserve"> 1,667 D  </t>
  </si>
  <si>
    <t>FEDERACION DEPORTIVA DEL GUAYAS</t>
  </si>
  <si>
    <t xml:space="preserve">   268 D  </t>
  </si>
  <si>
    <t xml:space="preserve">   368 D  </t>
  </si>
  <si>
    <t xml:space="preserve">OBLIGACIONES - REB (REG.ESPECIAL B.)    </t>
  </si>
  <si>
    <t>SOCIETCOMPANY</t>
  </si>
  <si>
    <t xml:space="preserve">   591 D  </t>
  </si>
  <si>
    <t xml:space="preserve">    40 D  </t>
  </si>
  <si>
    <t xml:space="preserve">    88 D  </t>
  </si>
  <si>
    <t xml:space="preserve">    55 D  </t>
  </si>
  <si>
    <t xml:space="preserve">    50 D  </t>
  </si>
  <si>
    <t xml:space="preserve">   146 D  </t>
  </si>
  <si>
    <t xml:space="preserve">   156 D  </t>
  </si>
  <si>
    <t xml:space="preserve">   238 D  </t>
  </si>
  <si>
    <t xml:space="preserve">   112 D  </t>
  </si>
  <si>
    <t xml:space="preserve">   515 D  </t>
  </si>
  <si>
    <t xml:space="preserve">    11 D  </t>
  </si>
  <si>
    <t xml:space="preserve">    75 D  </t>
  </si>
  <si>
    <t xml:space="preserve">   242 D  </t>
  </si>
  <si>
    <t xml:space="preserve">   291 D  </t>
  </si>
  <si>
    <t xml:space="preserve">   222 D  </t>
  </si>
  <si>
    <t xml:space="preserve">   336 D  </t>
  </si>
  <si>
    <t xml:space="preserve">   228 D  </t>
  </si>
  <si>
    <t xml:space="preserve">    29 D  </t>
  </si>
  <si>
    <t xml:space="preserve">    67 D  </t>
  </si>
  <si>
    <t xml:space="preserve">   234 D  </t>
  </si>
  <si>
    <t xml:space="preserve">   209 D  </t>
  </si>
  <si>
    <t xml:space="preserve">   194 D  </t>
  </si>
  <si>
    <t xml:space="preserve">   183 D  </t>
  </si>
  <si>
    <t xml:space="preserve">   187 D  </t>
  </si>
  <si>
    <t xml:space="preserve">   190 D  </t>
  </si>
  <si>
    <t xml:space="preserve">   341 D  </t>
  </si>
  <si>
    <t xml:space="preserve">    58 D  </t>
  </si>
  <si>
    <t xml:space="preserve">BANCO PROCREDIT </t>
  </si>
  <si>
    <t xml:space="preserve">    83 D  </t>
  </si>
  <si>
    <t xml:space="preserve">   172 D  </t>
  </si>
  <si>
    <t>COOPERATIVA DE AHORRO Y CRÉDITO ALIANZA DEL VALLE</t>
  </si>
  <si>
    <t>COOPERATIVA DE AHORRO Y CREDITO PABLO MUÑOZ VEGA</t>
  </si>
  <si>
    <t>COOPERATIVA DE AHORRO Y CRÉDITO 29 DE OCTUBRE</t>
  </si>
  <si>
    <t>COOPERATIVA DE AHORRO Y CREDITO  OSCUS</t>
  </si>
  <si>
    <t>COOPERATIVA DE AHORRO Y CRÉDITO TULCÁN</t>
  </si>
  <si>
    <t>COOPERATIVA DE AHORRO Y CRÉDITO CACPECO</t>
  </si>
  <si>
    <t>COOPERATIVA DE AHORRO Y CREDITO POLICIA NACIONAL</t>
  </si>
  <si>
    <t>OCTAVA TITULARIZACIÓN CARTERA COMERCIAL-IASA</t>
  </si>
  <si>
    <t xml:space="preserve"> 1,034 D  </t>
  </si>
  <si>
    <t xml:space="preserve"> 1,060 D  </t>
  </si>
  <si>
    <t xml:space="preserve"> 1,067 D  </t>
  </si>
  <si>
    <t xml:space="preserve">   766 D  </t>
  </si>
  <si>
    <t>PRIMERA TITULARIZACIÓN DE CARTERA COMPUTRON</t>
  </si>
  <si>
    <t xml:space="preserve">   724 D  </t>
  </si>
  <si>
    <t xml:space="preserve">   546 D  </t>
  </si>
  <si>
    <t xml:space="preserve"> 1,040 D  </t>
  </si>
  <si>
    <t xml:space="preserve"> 1,047 D  </t>
  </si>
  <si>
    <t xml:space="preserve">FACTURA COMERCIAL NEGOCIABLE - REB      </t>
  </si>
  <si>
    <t>ROQUIMIM</t>
  </si>
  <si>
    <t xml:space="preserve">    16 D  </t>
  </si>
  <si>
    <t>REPORTO ACCIONES</t>
  </si>
  <si>
    <t xml:space="preserve">45 D </t>
  </si>
  <si>
    <t xml:space="preserve">92 D </t>
  </si>
  <si>
    <t xml:space="preserve">178 D </t>
  </si>
  <si>
    <t xml:space="preserve">35 D </t>
  </si>
  <si>
    <t xml:space="preserve">161 D </t>
  </si>
  <si>
    <t xml:space="preserve">175 D </t>
  </si>
  <si>
    <t xml:space="preserve">176 D </t>
  </si>
  <si>
    <t xml:space="preserve">179 D </t>
  </si>
  <si>
    <t xml:space="preserve">180 D </t>
  </si>
  <si>
    <t xml:space="preserve">10 D </t>
  </si>
  <si>
    <t xml:space="preserve">12 D </t>
  </si>
  <si>
    <t xml:space="preserve">14 D </t>
  </si>
  <si>
    <t xml:space="preserve">15 D </t>
  </si>
  <si>
    <t xml:space="preserve">18 D </t>
  </si>
  <si>
    <t xml:space="preserve">78 D </t>
  </si>
  <si>
    <t xml:space="preserve">158 D </t>
  </si>
  <si>
    <t xml:space="preserve">40 D 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</si>
  <si>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Febrero de 2024  Hasta: 29 de Febrero de 2024</t>
    </r>
  </si>
  <si>
    <t>El monto tranzado en la BVG en el mes de Febrero fue de US$ 549,5 millones, mientras que a nivel nacional  el monto negociado fue de US$ 1.230,1 millones.
La participación de la BVG en valores efectivos en el monto nacional es del 44,67%.
Por tipo de Renta a Nivel Nacional, la renta variable alcanzó US$ 1,7 millones que representa el 0.14% mientras que en renta fija se cerró US$ 1.228,4 millones que representa el 99.86% del total negociado.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</si>
  <si>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Febrero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</si>
  <si>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- Febrero 2024</t>
    </r>
  </si>
  <si>
    <t>En el periodo Enero-Febrero de 2024, el monto transado en BVG es de US$ 1.289,7 millones mostrando un incremento del 23,60% respecto al mismo período del año 2023.
Las negociaciones por sector de emisión, en papeles del sector privado se negociaron US$ 504,2 millones que representa el 39,1% del total transado frente a US$ 785,4 millones en papeles del sector público que tienen una participación del 60,9%.  Los papeles del sector privado muestran un decremento del 10,2% respecto al período anterior mientras los papeles emitidos por el sector público presenta un incremento del 63,0%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</si>
  <si>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Enero-Febrero 2024</t>
    </r>
    <r>
      <rPr>
        <b/>
        <sz val="20"/>
        <color theme="0"/>
        <rFont val="Segoe UI Variable Display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</si>
</sst>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\1.00%"/>
    <numFmt numFmtId="168" formatCode="_(* #,##0.00_);_(* \(#,##0.00\);_(* &quot;-&quot;??_);_(@_)"/>
    <numFmt numFmtId="169" formatCode="_-* #,##0.00\ _$_-;\-* #,##0.00\ _$_-;_-* &quot;-&quot;??\ _$_-;_-@_-"/>
    <numFmt numFmtId="170" formatCode="0.00000"/>
    <numFmt numFmtId="171" formatCode="0.0000"/>
    <numFmt numFmtId="172" formatCode="#,##0.0000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b/>
      <sz val="16"/>
      <color rgb="FF011389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Poppins"/>
    </font>
    <font>
      <sz val="8"/>
      <color theme="0"/>
      <name val="Arial"/>
      <family val="2"/>
    </font>
    <font>
      <sz val="8"/>
      <color theme="0"/>
      <name val="Poppins"/>
    </font>
    <font>
      <b/>
      <sz val="8"/>
      <color theme="0"/>
      <name val="Poppins"/>
    </font>
    <font>
      <b/>
      <sz val="8"/>
      <color theme="0"/>
      <name val="Arial"/>
      <family val="2"/>
    </font>
    <font>
      <b/>
      <sz val="1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4"/>
      <name val="Poppins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3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462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5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centerContinuous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3" fillId="0" borderId="1" xfId="1" applyFont="1" applyBorder="1" applyAlignment="1">
      <alignment horizontal="centerContinuous" vertical="center"/>
    </xf>
    <xf numFmtId="0" fontId="13" fillId="0" borderId="1" xfId="1" applyFont="1" applyBorder="1" applyAlignment="1">
      <alignment vertical="center"/>
    </xf>
    <xf numFmtId="0" fontId="16" fillId="0" borderId="0" xfId="1" applyFont="1" applyAlignment="1">
      <alignment horizontal="center" vertical="center"/>
    </xf>
    <xf numFmtId="4" fontId="16" fillId="0" borderId="0" xfId="1" applyNumberFormat="1" applyFont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66" fontId="13" fillId="0" borderId="0" xfId="3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4" fontId="13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0" fontId="15" fillId="2" borderId="0" xfId="1" applyFont="1" applyFill="1" applyAlignment="1">
      <alignment vertical="center"/>
    </xf>
    <xf numFmtId="4" fontId="17" fillId="2" borderId="0" xfId="1" applyNumberFormat="1" applyFont="1" applyFill="1" applyAlignment="1">
      <alignment horizontal="center" vertical="center"/>
    </xf>
    <xf numFmtId="0" fontId="17" fillId="2" borderId="0" xfId="1" applyFont="1" applyFill="1" applyAlignment="1">
      <alignment vertical="center"/>
    </xf>
    <xf numFmtId="0" fontId="13" fillId="2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3" fillId="2" borderId="1" xfId="1" applyFont="1" applyFill="1" applyBorder="1" applyAlignment="1">
      <alignment vertical="center"/>
    </xf>
    <xf numFmtId="4" fontId="13" fillId="2" borderId="0" xfId="1" applyNumberFormat="1" applyFont="1" applyFill="1" applyAlignment="1">
      <alignment horizontal="centerContinuous" vertical="center"/>
    </xf>
    <xf numFmtId="0" fontId="13" fillId="2" borderId="0" xfId="1" applyFont="1" applyFill="1" applyAlignment="1">
      <alignment horizontal="centerContinuous" vertical="center"/>
    </xf>
    <xf numFmtId="0" fontId="13" fillId="2" borderId="2" xfId="1" applyFont="1" applyFill="1" applyBorder="1" applyAlignment="1">
      <alignment horizontal="centerContinuous" vertical="center"/>
    </xf>
    <xf numFmtId="3" fontId="17" fillId="2" borderId="0" xfId="1" applyNumberFormat="1" applyFont="1" applyFill="1" applyAlignment="1">
      <alignment horizontal="center" vertical="center"/>
    </xf>
    <xf numFmtId="0" fontId="13" fillId="2" borderId="6" xfId="1" applyFont="1" applyFill="1" applyBorder="1" applyAlignment="1">
      <alignment vertical="center"/>
    </xf>
    <xf numFmtId="4" fontId="13" fillId="2" borderId="7" xfId="1" applyNumberFormat="1" applyFont="1" applyFill="1" applyBorder="1" applyAlignment="1">
      <alignment horizontal="centerContinuous" vertical="center"/>
    </xf>
    <xf numFmtId="0" fontId="13" fillId="2" borderId="7" xfId="1" applyFont="1" applyFill="1" applyBorder="1" applyAlignment="1">
      <alignment horizontal="centerContinuous" vertical="center"/>
    </xf>
    <xf numFmtId="0" fontId="13" fillId="2" borderId="8" xfId="1" applyFont="1" applyFill="1" applyBorder="1" applyAlignment="1">
      <alignment horizontal="centerContinuous" vertical="center"/>
    </xf>
    <xf numFmtId="0" fontId="15" fillId="2" borderId="1" xfId="1" applyFont="1" applyFill="1" applyBorder="1" applyAlignment="1">
      <alignment vertical="center"/>
    </xf>
    <xf numFmtId="0" fontId="17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3" fillId="0" borderId="0" xfId="6" applyAlignment="1">
      <alignment vertical="center"/>
    </xf>
    <xf numFmtId="0" fontId="2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1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1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19" fillId="0" borderId="0" xfId="6" applyFont="1" applyAlignment="1">
      <alignment vertical="center"/>
    </xf>
    <xf numFmtId="0" fontId="24" fillId="0" borderId="0" xfId="1" applyFont="1" applyAlignment="1">
      <alignment vertical="center"/>
    </xf>
    <xf numFmtId="0" fontId="20" fillId="2" borderId="0" xfId="1" applyFont="1" applyFill="1"/>
    <xf numFmtId="0" fontId="20" fillId="0" borderId="0" xfId="1" applyFont="1"/>
    <xf numFmtId="0" fontId="13" fillId="0" borderId="0" xfId="1" applyFont="1"/>
    <xf numFmtId="0" fontId="13" fillId="3" borderId="0" xfId="1" applyFont="1" applyFill="1" applyAlignment="1">
      <alignment vertical="center"/>
    </xf>
    <xf numFmtId="0" fontId="29" fillId="0" borderId="0" xfId="1" applyFont="1" applyAlignment="1">
      <alignment vertical="center"/>
    </xf>
    <xf numFmtId="0" fontId="30" fillId="2" borderId="1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3" fontId="31" fillId="2" borderId="0" xfId="1" applyNumberFormat="1" applyFont="1" applyFill="1" applyAlignment="1">
      <alignment horizontal="right" vertical="center"/>
    </xf>
    <xf numFmtId="0" fontId="30" fillId="2" borderId="2" xfId="1" applyFont="1" applyFill="1" applyBorder="1" applyAlignment="1">
      <alignment vertical="center"/>
    </xf>
    <xf numFmtId="0" fontId="32" fillId="2" borderId="1" xfId="1" applyFont="1" applyFill="1" applyBorder="1" applyAlignment="1">
      <alignment vertical="center"/>
    </xf>
    <xf numFmtId="0" fontId="33" fillId="2" borderId="0" xfId="1" applyFont="1" applyFill="1" applyAlignment="1">
      <alignment horizontal="center" vertical="center"/>
    </xf>
    <xf numFmtId="0" fontId="33" fillId="2" borderId="2" xfId="1" applyFont="1" applyFill="1" applyBorder="1" applyAlignment="1">
      <alignment horizontal="center" vertical="center"/>
    </xf>
    <xf numFmtId="4" fontId="33" fillId="2" borderId="0" xfId="1" applyNumberFormat="1" applyFont="1" applyFill="1" applyAlignment="1">
      <alignment horizontal="center" vertical="center"/>
    </xf>
    <xf numFmtId="165" fontId="33" fillId="2" borderId="0" xfId="2" applyNumberFormat="1" applyFont="1" applyFill="1" applyBorder="1" applyAlignment="1">
      <alignment horizontal="centerContinuous" vertical="center"/>
    </xf>
    <xf numFmtId="4" fontId="33" fillId="2" borderId="2" xfId="1" applyNumberFormat="1" applyFont="1" applyFill="1" applyBorder="1" applyAlignment="1">
      <alignment horizontal="center" vertical="center"/>
    </xf>
    <xf numFmtId="0" fontId="33" fillId="2" borderId="1" xfId="1" applyFont="1" applyFill="1" applyBorder="1" applyAlignment="1">
      <alignment vertical="center"/>
    </xf>
    <xf numFmtId="3" fontId="33" fillId="2" borderId="0" xfId="1" applyNumberFormat="1" applyFont="1" applyFill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3" fontId="33" fillId="2" borderId="0" xfId="2" applyNumberFormat="1" applyFont="1" applyFill="1" applyBorder="1" applyAlignment="1">
      <alignment horizontal="center" vertical="center"/>
    </xf>
    <xf numFmtId="0" fontId="33" fillId="2" borderId="1" xfId="1" quotePrefix="1" applyFont="1" applyFill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35" fillId="2" borderId="1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3" fontId="36" fillId="2" borderId="0" xfId="3" applyNumberFormat="1" applyFont="1" applyFill="1" applyBorder="1" applyAlignment="1">
      <alignment horizontal="center" vertical="center"/>
    </xf>
    <xf numFmtId="0" fontId="35" fillId="2" borderId="2" xfId="1" applyFont="1" applyFill="1" applyBorder="1" applyAlignment="1">
      <alignment vertical="center"/>
    </xf>
    <xf numFmtId="0" fontId="36" fillId="2" borderId="0" xfId="1" applyFont="1" applyFill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4" fontId="36" fillId="2" borderId="0" xfId="1" applyNumberFormat="1" applyFont="1" applyFill="1" applyAlignment="1">
      <alignment horizontal="center" vertical="center"/>
    </xf>
    <xf numFmtId="165" fontId="36" fillId="2" borderId="0" xfId="2" applyNumberFormat="1" applyFont="1" applyFill="1" applyBorder="1" applyAlignment="1">
      <alignment horizontal="centerContinuous" vertical="center"/>
    </xf>
    <xf numFmtId="4" fontId="36" fillId="2" borderId="2" xfId="1" applyNumberFormat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center" vertical="center"/>
    </xf>
    <xf numFmtId="0" fontId="36" fillId="2" borderId="1" xfId="1" quotePrefix="1" applyFont="1" applyFill="1" applyBorder="1" applyAlignment="1">
      <alignment horizontal="left" vertical="center"/>
    </xf>
    <xf numFmtId="0" fontId="37" fillId="2" borderId="3" xfId="1" applyFont="1" applyFill="1" applyBorder="1" applyAlignment="1">
      <alignment vertical="center"/>
    </xf>
    <xf numFmtId="3" fontId="36" fillId="2" borderId="4" xfId="1" applyNumberFormat="1" applyFont="1" applyFill="1" applyBorder="1" applyAlignment="1">
      <alignment horizontal="center" vertical="center"/>
    </xf>
    <xf numFmtId="4" fontId="38" fillId="2" borderId="4" xfId="1" applyNumberFormat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/>
    </xf>
    <xf numFmtId="0" fontId="38" fillId="2" borderId="5" xfId="1" applyFont="1" applyFill="1" applyBorder="1" applyAlignment="1">
      <alignment vertical="center"/>
    </xf>
    <xf numFmtId="0" fontId="37" fillId="2" borderId="0" xfId="1" applyFont="1" applyFill="1" applyAlignment="1">
      <alignment vertical="center"/>
    </xf>
    <xf numFmtId="4" fontId="38" fillId="2" borderId="0" xfId="1" applyNumberFormat="1" applyFont="1" applyFill="1" applyAlignment="1">
      <alignment horizontal="center" vertical="center"/>
    </xf>
    <xf numFmtId="0" fontId="38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6" fillId="2" borderId="6" xfId="1" applyFont="1" applyFill="1" applyBorder="1" applyAlignment="1">
      <alignment vertical="center"/>
    </xf>
    <xf numFmtId="4" fontId="38" fillId="2" borderId="7" xfId="1" applyNumberFormat="1" applyFont="1" applyFill="1" applyBorder="1" applyAlignment="1">
      <alignment horizontal="center" vertical="center"/>
    </xf>
    <xf numFmtId="0" fontId="38" fillId="2" borderId="7" xfId="1" applyFont="1" applyFill="1" applyBorder="1" applyAlignment="1">
      <alignment vertical="center"/>
    </xf>
    <xf numFmtId="0" fontId="38" fillId="2" borderId="8" xfId="1" applyFont="1" applyFill="1" applyBorder="1" applyAlignment="1">
      <alignment vertical="center"/>
    </xf>
    <xf numFmtId="0" fontId="37" fillId="2" borderId="1" xfId="1" applyFont="1" applyFill="1" applyBorder="1" applyAlignment="1">
      <alignment vertical="center"/>
    </xf>
    <xf numFmtId="0" fontId="38" fillId="2" borderId="2" xfId="1" applyFont="1" applyFill="1" applyBorder="1" applyAlignment="1">
      <alignment vertical="center"/>
    </xf>
    <xf numFmtId="4" fontId="35" fillId="2" borderId="0" xfId="1" applyNumberFormat="1" applyFont="1" applyFill="1" applyAlignment="1">
      <alignment horizontal="center" vertical="center"/>
    </xf>
    <xf numFmtId="0" fontId="36" fillId="2" borderId="3" xfId="1" applyFont="1" applyFill="1" applyBorder="1" applyAlignment="1">
      <alignment vertical="center"/>
    </xf>
    <xf numFmtId="4" fontId="35" fillId="2" borderId="4" xfId="1" applyNumberFormat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vertical="center"/>
    </xf>
    <xf numFmtId="0" fontId="35" fillId="2" borderId="5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right" vertical="center" indent="2"/>
    </xf>
    <xf numFmtId="3" fontId="36" fillId="2" borderId="0" xfId="1" applyNumberFormat="1" applyFont="1" applyFill="1" applyAlignment="1">
      <alignment horizontal="right" vertical="center" indent="3"/>
    </xf>
    <xf numFmtId="3" fontId="36" fillId="2" borderId="0" xfId="3" applyNumberFormat="1" applyFont="1" applyFill="1" applyBorder="1" applyAlignment="1">
      <alignment horizontal="right" vertical="center" indent="3"/>
    </xf>
    <xf numFmtId="3" fontId="36" fillId="2" borderId="0" xfId="2" applyNumberFormat="1" applyFont="1" applyFill="1" applyBorder="1" applyAlignment="1">
      <alignment horizontal="right" vertical="center" indent="3"/>
    </xf>
    <xf numFmtId="10" fontId="36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0" fillId="0" borderId="1" xfId="1" applyFont="1" applyBorder="1"/>
    <xf numFmtId="0" fontId="32" fillId="0" borderId="3" xfId="1" applyFont="1" applyBorder="1" applyAlignment="1">
      <alignment horizontal="left"/>
    </xf>
    <xf numFmtId="3" fontId="32" fillId="0" borderId="4" xfId="1" applyNumberFormat="1" applyFont="1" applyBorder="1" applyAlignment="1">
      <alignment horizontal="right"/>
    </xf>
    <xf numFmtId="3" fontId="32" fillId="0" borderId="4" xfId="1" applyNumberFormat="1" applyFont="1" applyBorder="1"/>
    <xf numFmtId="0" fontId="3" fillId="2" borderId="2" xfId="1" applyFill="1" applyBorder="1"/>
    <xf numFmtId="0" fontId="20" fillId="2" borderId="2" xfId="1" applyFont="1" applyFill="1" applyBorder="1"/>
    <xf numFmtId="3" fontId="20" fillId="2" borderId="0" xfId="1" applyNumberFormat="1" applyFont="1" applyFill="1"/>
    <xf numFmtId="0" fontId="20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33" fillId="0" borderId="9" xfId="1" applyFont="1" applyBorder="1" applyAlignment="1">
      <alignment horizontal="left" vertical="center"/>
    </xf>
    <xf numFmtId="10" fontId="32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10" fontId="46" fillId="3" borderId="10" xfId="3" applyNumberFormat="1" applyFont="1" applyFill="1" applyBorder="1" applyAlignment="1">
      <alignment horizontal="center" vertical="center" wrapText="1"/>
    </xf>
    <xf numFmtId="0" fontId="46" fillId="3" borderId="11" xfId="1" applyFont="1" applyFill="1" applyBorder="1" applyAlignment="1">
      <alignment horizontal="center" vertical="center" wrapText="1"/>
    </xf>
    <xf numFmtId="0" fontId="46" fillId="3" borderId="13" xfId="1" applyFont="1" applyFill="1" applyBorder="1" applyAlignment="1">
      <alignment horizontal="center" vertical="center" wrapText="1"/>
    </xf>
    <xf numFmtId="0" fontId="40" fillId="0" borderId="12" xfId="1" applyFont="1" applyBorder="1"/>
    <xf numFmtId="0" fontId="45" fillId="0" borderId="0" xfId="1" applyFont="1" applyAlignment="1">
      <alignment horizontal="centerContinuous"/>
    </xf>
    <xf numFmtId="0" fontId="35" fillId="0" borderId="0" xfId="1" applyFont="1" applyAlignment="1">
      <alignment horizontal="centerContinuous"/>
    </xf>
    <xf numFmtId="0" fontId="48" fillId="0" borderId="0" xfId="1" applyFont="1"/>
    <xf numFmtId="3" fontId="38" fillId="0" borderId="0" xfId="1" applyNumberFormat="1" applyFont="1" applyAlignment="1">
      <alignment horizontal="left"/>
    </xf>
    <xf numFmtId="3" fontId="38" fillId="0" borderId="0" xfId="1" applyNumberFormat="1" applyFont="1" applyAlignment="1">
      <alignment horizontal="right"/>
    </xf>
    <xf numFmtId="3" fontId="38" fillId="0" borderId="0" xfId="1" applyNumberFormat="1" applyFont="1"/>
    <xf numFmtId="0" fontId="33" fillId="0" borderId="14" xfId="1" applyFont="1" applyBorder="1" applyAlignment="1">
      <alignment horizontal="left" vertical="center"/>
    </xf>
    <xf numFmtId="10" fontId="32" fillId="0" borderId="14" xfId="3" applyNumberFormat="1" applyFont="1" applyBorder="1" applyAlignment="1">
      <alignment horizontal="center" vertical="center"/>
    </xf>
    <xf numFmtId="0" fontId="46" fillId="3" borderId="15" xfId="1" applyFont="1" applyFill="1" applyBorder="1" applyAlignment="1">
      <alignment horizontal="center" vertical="center" wrapText="1"/>
    </xf>
    <xf numFmtId="10" fontId="46" fillId="3" borderId="16" xfId="3" applyNumberFormat="1" applyFont="1" applyFill="1" applyBorder="1" applyAlignment="1">
      <alignment horizontal="center" vertical="center" wrapText="1"/>
    </xf>
    <xf numFmtId="0" fontId="46" fillId="3" borderId="18" xfId="1" applyFont="1" applyFill="1" applyBorder="1" applyAlignment="1">
      <alignment horizontal="center" vertical="center" wrapText="1"/>
    </xf>
    <xf numFmtId="0" fontId="35" fillId="0" borderId="19" xfId="1" applyFont="1" applyBorder="1" applyAlignment="1">
      <alignment horizontal="centerContinuous"/>
    </xf>
    <xf numFmtId="3" fontId="32" fillId="0" borderId="14" xfId="1" applyNumberFormat="1" applyFont="1" applyBorder="1" applyAlignment="1">
      <alignment horizontal="right" vertical="center" indent="1"/>
    </xf>
    <xf numFmtId="3" fontId="32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3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0" fillId="0" borderId="19" xfId="6" applyFont="1" applyBorder="1" applyAlignment="1">
      <alignment vertical="center"/>
    </xf>
    <xf numFmtId="0" fontId="40" fillId="0" borderId="19" xfId="6" applyFont="1" applyBorder="1" applyAlignment="1">
      <alignment horizontal="left" vertical="center"/>
    </xf>
    <xf numFmtId="4" fontId="40" fillId="0" borderId="19" xfId="6" applyNumberFormat="1" applyFont="1" applyBorder="1" applyAlignment="1">
      <alignment horizontal="right" vertical="center"/>
    </xf>
    <xf numFmtId="10" fontId="40" fillId="0" borderId="19" xfId="6" applyNumberFormat="1" applyFont="1" applyBorder="1" applyAlignment="1">
      <alignment horizontal="right" vertical="center"/>
    </xf>
    <xf numFmtId="3" fontId="40" fillId="0" borderId="19" xfId="6" applyNumberFormat="1" applyFont="1" applyBorder="1" applyAlignment="1">
      <alignment horizontal="center" vertical="center"/>
    </xf>
    <xf numFmtId="0" fontId="40" fillId="0" borderId="17" xfId="6" applyFont="1" applyBorder="1" applyAlignment="1">
      <alignment horizontal="left" vertical="center"/>
    </xf>
    <xf numFmtId="4" fontId="40" fillId="0" borderId="17" xfId="6" applyNumberFormat="1" applyFont="1" applyBorder="1" applyAlignment="1">
      <alignment horizontal="right" vertical="center"/>
    </xf>
    <xf numFmtId="0" fontId="40" fillId="0" borderId="17" xfId="6" applyFont="1" applyBorder="1" applyAlignment="1">
      <alignment vertical="center"/>
    </xf>
    <xf numFmtId="3" fontId="40" fillId="0" borderId="17" xfId="6" applyNumberFormat="1" applyFont="1" applyBorder="1" applyAlignment="1">
      <alignment horizontal="center" vertical="center"/>
    </xf>
    <xf numFmtId="0" fontId="32" fillId="0" borderId="0" xfId="6" applyFont="1" applyAlignment="1">
      <alignment vertical="center"/>
    </xf>
    <xf numFmtId="4" fontId="32" fillId="0" borderId="0" xfId="6" applyNumberFormat="1" applyFont="1" applyAlignment="1">
      <alignment horizontal="right" vertical="center"/>
    </xf>
    <xf numFmtId="10" fontId="32" fillId="0" borderId="0" xfId="6" applyNumberFormat="1" applyFont="1" applyAlignment="1">
      <alignment horizontal="right" vertical="center"/>
    </xf>
    <xf numFmtId="3" fontId="32" fillId="0" borderId="0" xfId="6" applyNumberFormat="1" applyFont="1" applyAlignment="1">
      <alignment horizontal="center" vertical="center"/>
    </xf>
    <xf numFmtId="0" fontId="33" fillId="0" borderId="0" xfId="6" applyFont="1" applyAlignment="1">
      <alignment vertical="center"/>
    </xf>
    <xf numFmtId="4" fontId="33" fillId="0" borderId="0" xfId="6" applyNumberFormat="1" applyFont="1" applyAlignment="1">
      <alignment horizontal="right" vertical="center"/>
    </xf>
    <xf numFmtId="10" fontId="33" fillId="0" borderId="0" xfId="6" applyNumberFormat="1" applyFont="1" applyAlignment="1">
      <alignment horizontal="right" vertical="center"/>
    </xf>
    <xf numFmtId="3" fontId="33" fillId="0" borderId="0" xfId="6" applyNumberFormat="1" applyFont="1" applyAlignment="1">
      <alignment horizontal="center" vertical="center"/>
    </xf>
    <xf numFmtId="0" fontId="20" fillId="0" borderId="20" xfId="6" applyFont="1" applyBorder="1" applyAlignment="1">
      <alignment vertical="center"/>
    </xf>
    <xf numFmtId="0" fontId="20" fillId="0" borderId="20" xfId="6" applyFont="1" applyBorder="1" applyAlignment="1">
      <alignment horizontal="left" vertical="center"/>
    </xf>
    <xf numFmtId="4" fontId="20" fillId="0" borderId="20" xfId="6" applyNumberFormat="1" applyFont="1" applyBorder="1" applyAlignment="1">
      <alignment horizontal="right" vertical="center"/>
    </xf>
    <xf numFmtId="10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center" vertical="center"/>
    </xf>
    <xf numFmtId="0" fontId="28" fillId="0" borderId="19" xfId="6" applyFont="1" applyBorder="1" applyAlignment="1">
      <alignment vertical="center"/>
    </xf>
    <xf numFmtId="0" fontId="28" fillId="0" borderId="19" xfId="6" applyFont="1" applyBorder="1" applyAlignment="1">
      <alignment horizontal="left" vertical="center"/>
    </xf>
    <xf numFmtId="4" fontId="28" fillId="0" borderId="19" xfId="6" applyNumberFormat="1" applyFont="1" applyBorder="1" applyAlignment="1">
      <alignment horizontal="right" vertical="center"/>
    </xf>
    <xf numFmtId="10" fontId="28" fillId="0" borderId="19" xfId="6" applyNumberFormat="1" applyFont="1" applyBorder="1" applyAlignment="1">
      <alignment horizontal="right" vertical="center"/>
    </xf>
    <xf numFmtId="3" fontId="28" fillId="0" borderId="19" xfId="6" applyNumberFormat="1" applyFont="1" applyBorder="1" applyAlignment="1">
      <alignment horizontal="center" vertical="center"/>
    </xf>
    <xf numFmtId="0" fontId="50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50" fillId="3" borderId="0" xfId="2" applyNumberFormat="1" applyFont="1" applyFill="1" applyBorder="1" applyAlignment="1">
      <alignment horizontal="center" vertical="center"/>
    </xf>
    <xf numFmtId="166" fontId="50" fillId="3" borderId="0" xfId="3" applyNumberFormat="1" applyFont="1" applyFill="1" applyBorder="1" applyAlignment="1">
      <alignment horizontal="center" vertical="center"/>
    </xf>
    <xf numFmtId="0" fontId="51" fillId="0" borderId="0" xfId="1" applyFont="1" applyAlignment="1">
      <alignment vertical="center"/>
    </xf>
    <xf numFmtId="166" fontId="40" fillId="0" borderId="0" xfId="3" applyNumberFormat="1" applyFont="1" applyBorder="1" applyAlignment="1">
      <alignment horizontal="center" vertical="center"/>
    </xf>
    <xf numFmtId="3" fontId="40" fillId="0" borderId="0" xfId="1" applyNumberFormat="1" applyFont="1" applyAlignment="1">
      <alignment horizontal="right" vertical="center" indent="1"/>
    </xf>
    <xf numFmtId="0" fontId="44" fillId="0" borderId="0" xfId="1" applyFont="1" applyAlignment="1">
      <alignment vertical="center"/>
    </xf>
    <xf numFmtId="43" fontId="44" fillId="0" borderId="4" xfId="2" applyFont="1" applyBorder="1" applyAlignment="1">
      <alignment vertical="center"/>
    </xf>
    <xf numFmtId="3" fontId="40" fillId="0" borderId="4" xfId="2" applyNumberFormat="1" applyFont="1" applyFill="1" applyBorder="1" applyAlignment="1">
      <alignment horizontal="right" vertical="center" indent="1"/>
    </xf>
    <xf numFmtId="166" fontId="40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4" fillId="0" borderId="0" xfId="1" applyFont="1" applyAlignment="1">
      <alignment horizontal="left" vertical="center"/>
    </xf>
    <xf numFmtId="3" fontId="40" fillId="0" borderId="0" xfId="1" applyNumberFormat="1" applyFont="1" applyAlignment="1">
      <alignment vertical="center"/>
    </xf>
    <xf numFmtId="17" fontId="40" fillId="0" borderId="0" xfId="1" quotePrefix="1" applyNumberFormat="1" applyFont="1" applyAlignment="1">
      <alignment horizontal="right" vertical="center"/>
    </xf>
    <xf numFmtId="10" fontId="40" fillId="0" borderId="0" xfId="3" applyNumberFormat="1" applyFont="1" applyBorder="1" applyAlignment="1">
      <alignment vertical="center"/>
    </xf>
    <xf numFmtId="167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right" vertical="center"/>
    </xf>
    <xf numFmtId="3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left" vertical="center"/>
    </xf>
    <xf numFmtId="2" fontId="40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vertical="center"/>
    </xf>
    <xf numFmtId="10" fontId="16" fillId="0" borderId="0" xfId="3" applyNumberFormat="1" applyFont="1" applyBorder="1" applyAlignment="1">
      <alignment vertical="center"/>
    </xf>
    <xf numFmtId="10" fontId="16" fillId="0" borderId="0" xfId="3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0" fillId="0" borderId="4" xfId="1" applyFont="1" applyBorder="1" applyAlignment="1">
      <alignment horizontal="left" vertical="center"/>
    </xf>
    <xf numFmtId="3" fontId="40" fillId="0" borderId="4" xfId="1" applyNumberFormat="1" applyFont="1" applyBorder="1" applyAlignment="1">
      <alignment vertical="center"/>
    </xf>
    <xf numFmtId="10" fontId="40" fillId="0" borderId="4" xfId="3" applyNumberFormat="1" applyFont="1" applyBorder="1" applyAlignment="1">
      <alignment horizontal="right" vertical="center"/>
    </xf>
    <xf numFmtId="3" fontId="40" fillId="0" borderId="4" xfId="1" applyNumberFormat="1" applyFont="1" applyBorder="1" applyAlignment="1">
      <alignment horizontal="right" vertical="center"/>
    </xf>
    <xf numFmtId="0" fontId="44" fillId="4" borderId="4" xfId="1" applyFont="1" applyFill="1" applyBorder="1" applyAlignment="1">
      <alignment horizontal="left" vertical="center"/>
    </xf>
    <xf numFmtId="3" fontId="44" fillId="4" borderId="4" xfId="1" applyNumberFormat="1" applyFont="1" applyFill="1" applyBorder="1" applyAlignment="1">
      <alignment vertical="center"/>
    </xf>
    <xf numFmtId="10" fontId="44" fillId="4" borderId="4" xfId="3" applyNumberFormat="1" applyFont="1" applyFill="1" applyBorder="1" applyAlignment="1">
      <alignment vertical="center"/>
    </xf>
    <xf numFmtId="0" fontId="50" fillId="3" borderId="0" xfId="1" applyFont="1" applyFill="1" applyAlignment="1">
      <alignment horizontal="left" vertical="center" indent="1"/>
    </xf>
    <xf numFmtId="0" fontId="50" fillId="3" borderId="0" xfId="1" applyFont="1" applyFill="1" applyAlignment="1">
      <alignment horizontal="center" vertical="center"/>
    </xf>
    <xf numFmtId="0" fontId="52" fillId="0" borderId="0" xfId="1" applyFont="1" applyAlignment="1">
      <alignment horizontal="left" vertical="center"/>
    </xf>
    <xf numFmtId="17" fontId="53" fillId="0" borderId="0" xfId="1" applyNumberFormat="1" applyFont="1" applyAlignment="1">
      <alignment horizontal="right" vertical="center"/>
    </xf>
    <xf numFmtId="41" fontId="54" fillId="0" borderId="0" xfId="4" applyFont="1" applyAlignment="1">
      <alignment horizontal="left" vertical="center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4" fontId="56" fillId="0" borderId="0" xfId="1" applyNumberFormat="1" applyFont="1" applyAlignment="1">
      <alignment vertical="center"/>
    </xf>
    <xf numFmtId="0" fontId="52" fillId="0" borderId="0" xfId="1" applyFont="1" applyAlignment="1">
      <alignment vertical="center"/>
    </xf>
    <xf numFmtId="10" fontId="33" fillId="2" borderId="2" xfId="10" applyNumberFormat="1" applyFont="1" applyFill="1" applyBorder="1" applyAlignment="1">
      <alignment horizontal="center" vertical="center"/>
    </xf>
    <xf numFmtId="10" fontId="16" fillId="0" borderId="0" xfId="10" applyNumberFormat="1" applyFont="1" applyAlignment="1">
      <alignment horizontal="center" vertical="center"/>
    </xf>
    <xf numFmtId="4" fontId="40" fillId="0" borderId="4" xfId="2" applyNumberFormat="1" applyFont="1" applyFill="1" applyBorder="1" applyAlignment="1">
      <alignment horizontal="right" vertical="center" indent="1"/>
    </xf>
    <xf numFmtId="10" fontId="22" fillId="0" borderId="0" xfId="10" applyNumberFormat="1" applyFont="1" applyAlignment="1">
      <alignment vertical="center"/>
    </xf>
    <xf numFmtId="0" fontId="57" fillId="0" borderId="0" xfId="1" applyFont="1" applyAlignment="1">
      <alignment vertical="center"/>
    </xf>
    <xf numFmtId="0" fontId="58" fillId="0" borderId="0" xfId="1" applyFont="1" applyAlignment="1">
      <alignment vertical="center"/>
    </xf>
    <xf numFmtId="3" fontId="57" fillId="0" borderId="0" xfId="1" applyNumberFormat="1" applyFont="1" applyAlignment="1">
      <alignment vertical="center"/>
    </xf>
    <xf numFmtId="0" fontId="59" fillId="0" borderId="0" xfId="1" applyFont="1" applyAlignment="1">
      <alignment horizontal="left" vertical="center"/>
    </xf>
    <xf numFmtId="0" fontId="60" fillId="0" borderId="0" xfId="1" applyFont="1"/>
    <xf numFmtId="0" fontId="61" fillId="0" borderId="0" xfId="1" applyFont="1"/>
    <xf numFmtId="0" fontId="62" fillId="0" borderId="0" xfId="1" applyFont="1"/>
    <xf numFmtId="0" fontId="63" fillId="0" borderId="0" xfId="1" applyFont="1"/>
    <xf numFmtId="0" fontId="63" fillId="2" borderId="0" xfId="1" applyFont="1" applyFill="1"/>
    <xf numFmtId="0" fontId="63" fillId="2" borderId="0" xfId="1" applyFont="1" applyFill="1" applyAlignment="1">
      <alignment horizontal="right"/>
    </xf>
    <xf numFmtId="0" fontId="64" fillId="2" borderId="0" xfId="1" applyFont="1" applyFill="1" applyAlignment="1">
      <alignment horizontal="left"/>
    </xf>
    <xf numFmtId="165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5" fillId="2" borderId="0" xfId="1" applyFont="1" applyFill="1" applyAlignment="1">
      <alignment horizontal="left"/>
    </xf>
    <xf numFmtId="165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5" fontId="62" fillId="2" borderId="0" xfId="5" applyNumberFormat="1" applyFont="1" applyFill="1"/>
    <xf numFmtId="3" fontId="62" fillId="2" borderId="0" xfId="1" applyNumberFormat="1" applyFont="1" applyFill="1"/>
    <xf numFmtId="3" fontId="62" fillId="0" borderId="0" xfId="1" applyNumberFormat="1" applyFont="1"/>
    <xf numFmtId="0" fontId="5" fillId="0" borderId="0" xfId="4334" applyFont="1"/>
    <xf numFmtId="0" fontId="5" fillId="0" borderId="0" xfId="4335" applyFont="1"/>
    <xf numFmtId="0" fontId="5" fillId="0" borderId="4" xfId="4336" applyFont="1" applyBorder="1"/>
    <xf numFmtId="0" fontId="5" fillId="0" borderId="4" xfId="4336" applyFont="1" applyBorder="1" applyAlignment="1">
      <alignment horizontal="right"/>
    </xf>
    <xf numFmtId="0" fontId="5" fillId="0" borderId="4" xfId="4336" applyFont="1" applyBorder="1" applyAlignment="1">
      <alignment horizontal="center"/>
    </xf>
    <xf numFmtId="0" fontId="5" fillId="0" borderId="0" xfId="7" applyFont="1"/>
    <xf numFmtId="0" fontId="5" fillId="0" borderId="0" xfId="7" applyFont="1" applyAlignment="1">
      <alignment horizontal="center"/>
    </xf>
    <xf numFmtId="0" fontId="66" fillId="0" borderId="0" xfId="7" applyFont="1"/>
    <xf numFmtId="4" fontId="5" fillId="0" borderId="0" xfId="7" applyNumberFormat="1" applyFont="1"/>
    <xf numFmtId="3" fontId="66" fillId="0" borderId="0" xfId="7" applyNumberFormat="1" applyFont="1"/>
    <xf numFmtId="0" fontId="5" fillId="0" borderId="0" xfId="4337" applyFont="1"/>
    <xf numFmtId="0" fontId="66" fillId="0" borderId="0" xfId="4337" applyFont="1"/>
    <xf numFmtId="0" fontId="67" fillId="0" borderId="0" xfId="9" applyFont="1"/>
    <xf numFmtId="0" fontId="68" fillId="0" borderId="0" xfId="9" applyFont="1"/>
    <xf numFmtId="0" fontId="4" fillId="0" borderId="0" xfId="4337" applyFont="1"/>
    <xf numFmtId="0" fontId="4" fillId="0" borderId="0" xfId="4337" applyFont="1" applyAlignment="1">
      <alignment horizontal="center"/>
    </xf>
    <xf numFmtId="172" fontId="4" fillId="0" borderId="0" xfId="4337" applyNumberFormat="1" applyFont="1" applyAlignment="1">
      <alignment horizontal="right"/>
    </xf>
    <xf numFmtId="0" fontId="4" fillId="0" borderId="0" xfId="4337" applyFont="1" applyAlignment="1">
      <alignment horizontal="right"/>
    </xf>
    <xf numFmtId="171" fontId="4" fillId="0" borderId="0" xfId="4337" applyNumberFormat="1" applyFont="1" applyAlignment="1">
      <alignment horizontal="right"/>
    </xf>
    <xf numFmtId="4" fontId="69" fillId="0" borderId="0" xfId="0" applyNumberFormat="1" applyFont="1" applyAlignment="1">
      <alignment horizontal="right"/>
    </xf>
    <xf numFmtId="4" fontId="4" fillId="0" borderId="0" xfId="7" applyNumberFormat="1" applyFont="1"/>
    <xf numFmtId="4" fontId="3" fillId="0" borderId="0" xfId="6" applyNumberFormat="1"/>
    <xf numFmtId="14" fontId="5" fillId="0" borderId="0" xfId="7" applyNumberFormat="1" applyFont="1"/>
    <xf numFmtId="0" fontId="3" fillId="0" borderId="0" xfId="4338"/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4" fontId="3" fillId="0" borderId="0" xfId="4338" applyNumberFormat="1" applyAlignment="1">
      <alignment horizontal="right"/>
    </xf>
    <xf numFmtId="4" fontId="2" fillId="0" borderId="0" xfId="7" applyNumberFormat="1" applyFont="1"/>
    <xf numFmtId="0" fontId="70" fillId="0" borderId="0" xfId="1" applyFont="1" applyAlignment="1">
      <alignment vertical="center"/>
    </xf>
    <xf numFmtId="0" fontId="18" fillId="0" borderId="0" xfId="7" applyFont="1"/>
    <xf numFmtId="0" fontId="25" fillId="3" borderId="0" xfId="1" applyFont="1" applyFill="1" applyAlignment="1">
      <alignment vertical="center" wrapText="1"/>
    </xf>
    <xf numFmtId="0" fontId="25" fillId="0" borderId="0" xfId="1" applyFont="1" applyAlignment="1">
      <alignment vertical="center" wrapText="1"/>
    </xf>
    <xf numFmtId="0" fontId="71" fillId="0" borderId="0" xfId="1" applyFont="1" applyAlignment="1">
      <alignment horizontal="center" vertical="center" wrapText="1"/>
    </xf>
    <xf numFmtId="0" fontId="18" fillId="0" borderId="0" xfId="4335" applyFont="1"/>
    <xf numFmtId="0" fontId="49" fillId="5" borderId="1" xfId="1" applyFont="1" applyFill="1" applyBorder="1" applyAlignment="1">
      <alignment vertical="center" wrapText="1"/>
    </xf>
    <xf numFmtId="0" fontId="73" fillId="0" borderId="0" xfId="1" applyFont="1" applyAlignment="1">
      <alignment vertical="center" wrapText="1"/>
    </xf>
    <xf numFmtId="0" fontId="73" fillId="0" borderId="2" xfId="1" applyFont="1" applyBorder="1" applyAlignment="1">
      <alignment vertical="center" wrapText="1"/>
    </xf>
    <xf numFmtId="0" fontId="50" fillId="3" borderId="1" xfId="1" applyFont="1" applyFill="1" applyBorder="1" applyAlignment="1">
      <alignment horizontal="center" vertical="center" wrapText="1"/>
    </xf>
    <xf numFmtId="0" fontId="50" fillId="3" borderId="2" xfId="1" applyFont="1" applyFill="1" applyBorder="1" applyAlignment="1">
      <alignment horizontal="center" vertical="center" wrapText="1"/>
    </xf>
    <xf numFmtId="0" fontId="74" fillId="0" borderId="0" xfId="7" applyFont="1"/>
    <xf numFmtId="0" fontId="44" fillId="0" borderId="1" xfId="7" applyFont="1" applyBorder="1"/>
    <xf numFmtId="0" fontId="44" fillId="0" borderId="0" xfId="7" applyFont="1"/>
    <xf numFmtId="0" fontId="44" fillId="0" borderId="2" xfId="7" applyFont="1" applyBorder="1" applyAlignment="1">
      <alignment horizontal="center"/>
    </xf>
    <xf numFmtId="0" fontId="40" fillId="0" borderId="3" xfId="7" applyFont="1" applyBorder="1"/>
    <xf numFmtId="170" fontId="40" fillId="0" borderId="4" xfId="7" applyNumberFormat="1" applyFont="1" applyBorder="1"/>
    <xf numFmtId="2" fontId="40" fillId="0" borderId="4" xfId="7" applyNumberFormat="1" applyFont="1" applyBorder="1"/>
    <xf numFmtId="3" fontId="40" fillId="0" borderId="4" xfId="7" applyNumberFormat="1" applyFont="1" applyBorder="1"/>
    <xf numFmtId="4" fontId="40" fillId="0" borderId="4" xfId="7" applyNumberFormat="1" applyFont="1" applyBorder="1"/>
    <xf numFmtId="0" fontId="40" fillId="0" borderId="5" xfId="7" applyFont="1" applyBorder="1" applyAlignment="1">
      <alignment horizontal="center"/>
    </xf>
    <xf numFmtId="0" fontId="44" fillId="4" borderId="1" xfId="7" applyFont="1" applyFill="1" applyBorder="1"/>
    <xf numFmtId="0" fontId="44" fillId="4" borderId="0" xfId="7" applyFont="1" applyFill="1"/>
    <xf numFmtId="0" fontId="40" fillId="4" borderId="0" xfId="7" applyFont="1" applyFill="1"/>
    <xf numFmtId="3" fontId="44" fillId="4" borderId="0" xfId="7" applyNumberFormat="1" applyFont="1" applyFill="1"/>
    <xf numFmtId="4" fontId="44" fillId="4" borderId="0" xfId="7" applyNumberFormat="1" applyFont="1" applyFill="1"/>
    <xf numFmtId="3" fontId="44" fillId="4" borderId="2" xfId="7" applyNumberFormat="1" applyFont="1" applyFill="1" applyBorder="1" applyAlignment="1">
      <alignment horizontal="center"/>
    </xf>
    <xf numFmtId="0" fontId="32" fillId="0" borderId="1" xfId="7" applyFont="1" applyBorder="1"/>
    <xf numFmtId="0" fontId="32" fillId="0" borderId="0" xfId="7" applyFont="1"/>
    <xf numFmtId="4" fontId="32" fillId="0" borderId="0" xfId="7" applyNumberFormat="1" applyFont="1"/>
    <xf numFmtId="0" fontId="32" fillId="0" borderId="2" xfId="7" applyFont="1" applyBorder="1"/>
    <xf numFmtId="0" fontId="44" fillId="0" borderId="1" xfId="4337" applyFont="1" applyBorder="1"/>
    <xf numFmtId="0" fontId="44" fillId="0" borderId="0" xfId="4337" applyFont="1"/>
    <xf numFmtId="4" fontId="44" fillId="0" borderId="0" xfId="4337" applyNumberFormat="1" applyFont="1"/>
    <xf numFmtId="0" fontId="44" fillId="0" borderId="2" xfId="4337" applyFont="1" applyBorder="1" applyAlignment="1">
      <alignment horizontal="center"/>
    </xf>
    <xf numFmtId="0" fontId="75" fillId="6" borderId="1" xfId="7" applyFont="1" applyFill="1" applyBorder="1"/>
    <xf numFmtId="0" fontId="75" fillId="6" borderId="0" xfId="7" applyFont="1" applyFill="1"/>
    <xf numFmtId="0" fontId="76" fillId="6" borderId="0" xfId="7" applyFont="1" applyFill="1"/>
    <xf numFmtId="3" fontId="75" fillId="6" borderId="0" xfId="7" applyNumberFormat="1" applyFont="1" applyFill="1"/>
    <xf numFmtId="4" fontId="75" fillId="6" borderId="0" xfId="7" applyNumberFormat="1" applyFont="1" applyFill="1"/>
    <xf numFmtId="3" fontId="75" fillId="6" borderId="2" xfId="7" applyNumberFormat="1" applyFont="1" applyFill="1" applyBorder="1" applyAlignment="1">
      <alignment horizontal="center"/>
    </xf>
    <xf numFmtId="0" fontId="23" fillId="0" borderId="1" xfId="7" applyFont="1" applyBorder="1"/>
    <xf numFmtId="0" fontId="23" fillId="0" borderId="0" xfId="7" applyFont="1"/>
    <xf numFmtId="3" fontId="23" fillId="0" borderId="0" xfId="7" applyNumberFormat="1" applyFont="1"/>
    <xf numFmtId="4" fontId="23" fillId="0" borderId="0" xfId="7" applyNumberFormat="1" applyFont="1"/>
    <xf numFmtId="3" fontId="23" fillId="0" borderId="2" xfId="7" applyNumberFormat="1" applyFont="1" applyBorder="1" applyAlignment="1">
      <alignment horizontal="center"/>
    </xf>
    <xf numFmtId="0" fontId="75" fillId="6" borderId="3" xfId="7" applyFont="1" applyFill="1" applyBorder="1"/>
    <xf numFmtId="0" fontId="75" fillId="6" borderId="4" xfId="7" applyFont="1" applyFill="1" applyBorder="1"/>
    <xf numFmtId="0" fontId="76" fillId="6" borderId="4" xfId="7" applyFont="1" applyFill="1" applyBorder="1"/>
    <xf numFmtId="3" fontId="75" fillId="6" borderId="4" xfId="7" applyNumberFormat="1" applyFont="1" applyFill="1" applyBorder="1"/>
    <xf numFmtId="3" fontId="23" fillId="0" borderId="0" xfId="7" applyNumberFormat="1" applyFont="1" applyAlignment="1">
      <alignment horizontal="center"/>
    </xf>
    <xf numFmtId="0" fontId="18" fillId="0" borderId="1" xfId="4335" applyFont="1" applyBorder="1"/>
    <xf numFmtId="0" fontId="18" fillId="0" borderId="2" xfId="4335" applyFont="1" applyBorder="1"/>
    <xf numFmtId="0" fontId="77" fillId="0" borderId="1" xfId="8" applyFont="1" applyBorder="1"/>
    <xf numFmtId="0" fontId="78" fillId="0" borderId="0" xfId="8" applyFont="1" applyAlignment="1">
      <alignment horizontal="center"/>
    </xf>
    <xf numFmtId="172" fontId="78" fillId="0" borderId="0" xfId="8" applyNumberFormat="1" applyFont="1" applyAlignment="1">
      <alignment horizontal="right"/>
    </xf>
    <xf numFmtId="0" fontId="78" fillId="0" borderId="0" xfId="8" applyFont="1" applyAlignment="1">
      <alignment horizontal="right"/>
    </xf>
    <xf numFmtId="171" fontId="78" fillId="0" borderId="0" xfId="8" applyNumberFormat="1" applyFont="1" applyAlignment="1">
      <alignment horizontal="right"/>
    </xf>
    <xf numFmtId="4" fontId="78" fillId="0" borderId="0" xfId="8" applyNumberFormat="1" applyFont="1" applyAlignment="1">
      <alignment horizontal="right"/>
    </xf>
    <xf numFmtId="0" fontId="78" fillId="0" borderId="2" xfId="8" applyFont="1" applyBorder="1" applyAlignment="1">
      <alignment horizontal="center"/>
    </xf>
    <xf numFmtId="0" fontId="40" fillId="0" borderId="1" xfId="7" applyFont="1" applyBorder="1"/>
    <xf numFmtId="170" fontId="40" fillId="0" borderId="0" xfId="7" applyNumberFormat="1" applyFont="1" applyAlignment="1">
      <alignment horizontal="center"/>
    </xf>
    <xf numFmtId="170" fontId="40" fillId="0" borderId="0" xfId="7" applyNumberFormat="1" applyFont="1"/>
    <xf numFmtId="2" fontId="40" fillId="0" borderId="0" xfId="7" applyNumberFormat="1" applyFont="1" applyAlignment="1">
      <alignment horizontal="center"/>
    </xf>
    <xf numFmtId="4" fontId="40" fillId="0" borderId="0" xfId="7" applyNumberFormat="1" applyFont="1"/>
    <xf numFmtId="0" fontId="40" fillId="0" borderId="2" xfId="7" applyFont="1" applyBorder="1" applyAlignment="1">
      <alignment horizontal="center"/>
    </xf>
    <xf numFmtId="170" fontId="44" fillId="0" borderId="0" xfId="7" applyNumberFormat="1" applyFont="1" applyAlignment="1">
      <alignment horizontal="center"/>
    </xf>
    <xf numFmtId="170" fontId="44" fillId="0" borderId="0" xfId="7" applyNumberFormat="1" applyFont="1"/>
    <xf numFmtId="2" fontId="44" fillId="0" borderId="0" xfId="7" applyNumberFormat="1" applyFont="1" applyAlignment="1">
      <alignment horizontal="center"/>
    </xf>
    <xf numFmtId="4" fontId="44" fillId="0" borderId="0" xfId="7" applyNumberFormat="1" applyFont="1"/>
    <xf numFmtId="0" fontId="79" fillId="4" borderId="1" xfId="7" applyFont="1" applyFill="1" applyBorder="1"/>
    <xf numFmtId="0" fontId="79" fillId="4" borderId="0" xfId="7" applyFont="1" applyFill="1"/>
    <xf numFmtId="0" fontId="80" fillId="4" borderId="0" xfId="7" applyFont="1" applyFill="1"/>
    <xf numFmtId="3" fontId="79" fillId="4" borderId="0" xfId="7" applyNumberFormat="1" applyFont="1" applyFill="1"/>
    <xf numFmtId="3" fontId="79" fillId="4" borderId="2" xfId="7" applyNumberFormat="1" applyFont="1" applyFill="1" applyBorder="1" applyAlignment="1">
      <alignment horizontal="center"/>
    </xf>
    <xf numFmtId="0" fontId="4" fillId="0" borderId="1" xfId="4337" applyFont="1" applyBorder="1"/>
    <xf numFmtId="0" fontId="69" fillId="0" borderId="2" xfId="0" applyFont="1" applyBorder="1" applyAlignment="1">
      <alignment horizontal="center"/>
    </xf>
    <xf numFmtId="0" fontId="74" fillId="0" borderId="1" xfId="7" applyFont="1" applyBorder="1"/>
    <xf numFmtId="3" fontId="74" fillId="0" borderId="0" xfId="7" applyNumberFormat="1" applyFont="1"/>
    <xf numFmtId="3" fontId="74" fillId="0" borderId="2" xfId="7" applyNumberFormat="1" applyFont="1" applyBorder="1" applyAlignment="1">
      <alignment horizontal="center"/>
    </xf>
    <xf numFmtId="0" fontId="45" fillId="0" borderId="1" xfId="7" quotePrefix="1" applyFont="1" applyBorder="1"/>
    <xf numFmtId="0" fontId="45" fillId="0" borderId="0" xfId="7" applyFont="1"/>
    <xf numFmtId="3" fontId="45" fillId="0" borderId="0" xfId="7" applyNumberFormat="1" applyFont="1"/>
    <xf numFmtId="3" fontId="45" fillId="0" borderId="2" xfId="7" applyNumberFormat="1" applyFont="1" applyBorder="1" applyAlignment="1">
      <alignment horizontal="center"/>
    </xf>
    <xf numFmtId="0" fontId="81" fillId="0" borderId="3" xfId="7" quotePrefix="1" applyFont="1" applyBorder="1"/>
    <xf numFmtId="0" fontId="81" fillId="0" borderId="4" xfId="7" applyFont="1" applyBorder="1"/>
    <xf numFmtId="3" fontId="81" fillId="0" borderId="4" xfId="7" applyNumberFormat="1" applyFont="1" applyBorder="1"/>
    <xf numFmtId="3" fontId="81" fillId="0" borderId="5" xfId="7" applyNumberFormat="1" applyFont="1" applyBorder="1" applyAlignment="1">
      <alignment horizontal="center"/>
    </xf>
    <xf numFmtId="0" fontId="48" fillId="0" borderId="0" xfId="7" applyFont="1"/>
    <xf numFmtId="0" fontId="82" fillId="5" borderId="0" xfId="7" applyFont="1" applyFill="1"/>
    <xf numFmtId="0" fontId="83" fillId="5" borderId="0" xfId="7" applyFont="1" applyFill="1"/>
    <xf numFmtId="3" fontId="82" fillId="5" borderId="0" xfId="7" applyNumberFormat="1" applyFont="1" applyFill="1"/>
    <xf numFmtId="4" fontId="82" fillId="5" borderId="0" xfId="7" applyNumberFormat="1" applyFont="1" applyFill="1"/>
    <xf numFmtId="3" fontId="82" fillId="5" borderId="0" xfId="7" applyNumberFormat="1" applyFont="1" applyFill="1" applyAlignment="1">
      <alignment horizontal="center"/>
    </xf>
    <xf numFmtId="0" fontId="23" fillId="0" borderId="4" xfId="7" applyFont="1" applyBorder="1"/>
    <xf numFmtId="3" fontId="23" fillId="0" borderId="4" xfId="7" applyNumberFormat="1" applyFont="1" applyBorder="1"/>
    <xf numFmtId="3" fontId="14" fillId="3" borderId="0" xfId="4338" applyNumberFormat="1" applyFont="1" applyFill="1" applyAlignment="1">
      <alignment horizontal="left" vertical="center" indent="1"/>
    </xf>
    <xf numFmtId="3" fontId="13" fillId="0" borderId="0" xfId="4338" applyNumberFormat="1" applyFont="1" applyAlignment="1">
      <alignment horizontal="center" vertical="center"/>
    </xf>
    <xf numFmtId="3" fontId="13" fillId="0" borderId="0" xfId="4338" applyNumberFormat="1" applyFont="1" applyAlignment="1">
      <alignment horizontal="right" vertical="center"/>
    </xf>
    <xf numFmtId="1" fontId="13" fillId="0" borderId="0" xfId="4338" applyNumberFormat="1" applyFont="1" applyAlignment="1">
      <alignment vertical="center"/>
    </xf>
    <xf numFmtId="1" fontId="75" fillId="3" borderId="0" xfId="4338" applyNumberFormat="1" applyFont="1" applyFill="1" applyAlignment="1">
      <alignment vertical="center"/>
    </xf>
    <xf numFmtId="1" fontId="75" fillId="3" borderId="0" xfId="4338" applyNumberFormat="1" applyFont="1" applyFill="1" applyAlignment="1">
      <alignment horizontal="right" vertical="center"/>
    </xf>
    <xf numFmtId="1" fontId="75" fillId="3" borderId="0" xfId="4338" applyNumberFormat="1" applyFont="1" applyFill="1" applyAlignment="1">
      <alignment horizontal="center" vertical="center"/>
    </xf>
    <xf numFmtId="1" fontId="44" fillId="0" borderId="0" xfId="4338" applyNumberFormat="1" applyFont="1"/>
    <xf numFmtId="3" fontId="44" fillId="0" borderId="0" xfId="4338" applyNumberFormat="1" applyFont="1" applyAlignment="1">
      <alignment horizontal="right"/>
    </xf>
    <xf numFmtId="3" fontId="44" fillId="0" borderId="0" xfId="4338" applyNumberFormat="1" applyFont="1" applyAlignment="1">
      <alignment horizontal="center"/>
    </xf>
    <xf numFmtId="1" fontId="40" fillId="0" borderId="4" xfId="4338" applyNumberFormat="1" applyFont="1" applyBorder="1" applyAlignment="1">
      <alignment vertical="center"/>
    </xf>
    <xf numFmtId="4" fontId="40" fillId="0" borderId="4" xfId="4338" applyNumberFormat="1" applyFont="1" applyBorder="1" applyAlignment="1">
      <alignment horizontal="right" vertical="center"/>
    </xf>
    <xf numFmtId="4" fontId="40" fillId="0" borderId="4" xfId="4338" applyNumberFormat="1" applyFont="1" applyBorder="1" applyAlignment="1">
      <alignment horizontal="center" vertical="center"/>
    </xf>
    <xf numFmtId="1" fontId="44" fillId="0" borderId="4" xfId="4338" applyNumberFormat="1" applyFont="1" applyBorder="1" applyAlignment="1">
      <alignment vertical="center"/>
    </xf>
    <xf numFmtId="4" fontId="44" fillId="0" borderId="4" xfId="4338" applyNumberFormat="1" applyFont="1" applyBorder="1" applyAlignment="1">
      <alignment horizontal="right" vertical="center"/>
    </xf>
    <xf numFmtId="4" fontId="44" fillId="0" borderId="4" xfId="4338" applyNumberFormat="1" applyFont="1" applyBorder="1" applyAlignment="1">
      <alignment horizontal="center" vertical="center"/>
    </xf>
    <xf numFmtId="1" fontId="30" fillId="0" borderId="0" xfId="4338" applyNumberFormat="1" applyFont="1" applyAlignment="1">
      <alignment vertical="center"/>
    </xf>
    <xf numFmtId="4" fontId="30" fillId="0" borderId="0" xfId="4338" applyNumberFormat="1" applyFont="1" applyAlignment="1">
      <alignment horizontal="right" vertical="center"/>
    </xf>
    <xf numFmtId="4" fontId="30" fillId="0" borderId="0" xfId="4338" applyNumberFormat="1" applyFont="1" applyAlignment="1">
      <alignment horizontal="center" vertical="center"/>
    </xf>
    <xf numFmtId="3" fontId="30" fillId="0" borderId="0" xfId="4338" applyNumberFormat="1" applyFont="1" applyAlignment="1">
      <alignment horizontal="center" vertical="center"/>
    </xf>
    <xf numFmtId="1" fontId="79" fillId="4" borderId="0" xfId="4338" applyNumberFormat="1" applyFont="1" applyFill="1" applyAlignment="1">
      <alignment vertical="center"/>
    </xf>
    <xf numFmtId="4" fontId="44" fillId="4" borderId="0" xfId="4338" applyNumberFormat="1" applyFont="1" applyFill="1" applyAlignment="1">
      <alignment horizontal="right" vertical="center"/>
    </xf>
    <xf numFmtId="4" fontId="44" fillId="4" borderId="0" xfId="4338" applyNumberFormat="1" applyFont="1" applyFill="1" applyAlignment="1">
      <alignment horizontal="center" vertical="center"/>
    </xf>
    <xf numFmtId="4" fontId="85" fillId="4" borderId="0" xfId="4338" applyNumberFormat="1" applyFont="1" applyFill="1" applyAlignment="1">
      <alignment horizontal="center" vertical="center"/>
    </xf>
    <xf numFmtId="4" fontId="20" fillId="0" borderId="0" xfId="6" applyNumberFormat="1" applyFont="1" applyAlignment="1">
      <alignment vertical="center"/>
    </xf>
    <xf numFmtId="170" fontId="40" fillId="0" borderId="0" xfId="7" applyNumberFormat="1" applyFont="1" applyAlignment="1">
      <alignment horizontal="right"/>
    </xf>
    <xf numFmtId="170" fontId="44" fillId="0" borderId="0" xfId="7" applyNumberFormat="1" applyFont="1" applyAlignment="1">
      <alignment horizontal="right"/>
    </xf>
    <xf numFmtId="1" fontId="40" fillId="0" borderId="0" xfId="7" applyNumberFormat="1" applyFont="1" applyAlignment="1">
      <alignment horizontal="right"/>
    </xf>
    <xf numFmtId="0" fontId="86" fillId="0" borderId="0" xfId="1" applyFont="1" applyAlignment="1">
      <alignment horizontal="left" vertical="center"/>
    </xf>
    <xf numFmtId="0" fontId="43" fillId="2" borderId="1" xfId="1" applyFont="1" applyFill="1" applyBorder="1" applyAlignment="1">
      <alignment horizontal="center" vertical="center"/>
    </xf>
    <xf numFmtId="0" fontId="43" fillId="2" borderId="0" xfId="1" applyFont="1" applyFill="1" applyAlignment="1">
      <alignment horizontal="center" vertical="center"/>
    </xf>
    <xf numFmtId="0" fontId="43" fillId="2" borderId="2" xfId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center" vertical="center"/>
    </xf>
    <xf numFmtId="0" fontId="42" fillId="2" borderId="0" xfId="1" applyFont="1" applyFill="1" applyAlignment="1">
      <alignment horizontal="center" vertical="center"/>
    </xf>
    <xf numFmtId="0" fontId="42" fillId="2" borderId="2" xfId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1"/>
    </xf>
    <xf numFmtId="0" fontId="25" fillId="3" borderId="0" xfId="1" applyFont="1" applyFill="1" applyAlignment="1">
      <alignment horizontal="left" vertical="center" indent="1"/>
    </xf>
    <xf numFmtId="0" fontId="34" fillId="0" borderId="1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0" fillId="2" borderId="0" xfId="0" applyFont="1" applyFill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39" fillId="2" borderId="0" xfId="1" applyFont="1" applyFill="1" applyAlignment="1">
      <alignment horizontal="center" vertical="center"/>
    </xf>
    <xf numFmtId="0" fontId="40" fillId="2" borderId="0" xfId="1" applyFont="1" applyFill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 indent="1"/>
    </xf>
    <xf numFmtId="0" fontId="23" fillId="0" borderId="3" xfId="1" applyFont="1" applyBorder="1" applyAlignment="1">
      <alignment horizontal="left" indent="2"/>
    </xf>
    <xf numFmtId="0" fontId="23" fillId="0" borderId="4" xfId="1" applyFont="1" applyBorder="1" applyAlignment="1">
      <alignment horizontal="left" indent="2"/>
    </xf>
    <xf numFmtId="0" fontId="23" fillId="0" borderId="5" xfId="1" applyFont="1" applyBorder="1" applyAlignment="1">
      <alignment horizontal="left" indent="2"/>
    </xf>
    <xf numFmtId="0" fontId="47" fillId="0" borderId="0" xfId="1" applyFont="1" applyAlignment="1">
      <alignment horizontal="center" vertical="center" wrapText="1"/>
    </xf>
    <xf numFmtId="0" fontId="25" fillId="3" borderId="1" xfId="1" applyFont="1" applyFill="1" applyBorder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2" xfId="1" applyFont="1" applyFill="1" applyBorder="1" applyAlignment="1">
      <alignment horizontal="left" vertical="center" wrapText="1"/>
    </xf>
    <xf numFmtId="0" fontId="25" fillId="3" borderId="1" xfId="1" applyFont="1" applyFill="1" applyBorder="1" applyAlignment="1">
      <alignment horizontal="left" vertical="center" wrapText="1" indent="2"/>
    </xf>
    <xf numFmtId="0" fontId="25" fillId="3" borderId="0" xfId="1" applyFont="1" applyFill="1" applyAlignment="1">
      <alignment horizontal="left" vertical="center" wrapText="1" indent="2"/>
    </xf>
    <xf numFmtId="0" fontId="4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/>
    </xf>
    <xf numFmtId="0" fontId="72" fillId="2" borderId="9" xfId="1" applyFont="1" applyFill="1" applyBorder="1" applyAlignment="1">
      <alignment horizontal="center" vertical="center"/>
    </xf>
    <xf numFmtId="0" fontId="72" fillId="2" borderId="6" xfId="1" applyFont="1" applyFill="1" applyBorder="1" applyAlignment="1">
      <alignment horizontal="center" vertical="center"/>
    </xf>
    <xf numFmtId="0" fontId="72" fillId="2" borderId="7" xfId="1" applyFont="1" applyFill="1" applyBorder="1" applyAlignment="1">
      <alignment horizontal="center" vertical="center"/>
    </xf>
    <xf numFmtId="0" fontId="72" fillId="2" borderId="8" xfId="1" applyFont="1" applyFill="1" applyBorder="1" applyAlignment="1">
      <alignment horizontal="center" vertical="center"/>
    </xf>
    <xf numFmtId="1" fontId="25" fillId="3" borderId="0" xfId="4338" applyNumberFormat="1" applyFont="1" applyFill="1" applyAlignment="1">
      <alignment horizontal="left" vertical="center" wrapText="1" indent="1"/>
    </xf>
  </cellXfs>
  <cellStyles count="4339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 2" xfId="9" xr:uid="{BB711DD7-E3DA-4557-ADD4-6CE8B8F51D2F}"/>
    <cellStyle name="Normal 5" xfId="8" xr:uid="{D54325BF-DB54-45B9-8F96-85599107F19C}"/>
    <cellStyle name="Normal_Cerradas" xfId="4336" xr:uid="{12C10AC4-8FB3-4733-9B9F-661DF9D16E7A}"/>
    <cellStyle name="Normal_OPECE" xfId="4337" xr:uid="{625651CC-07F2-4D8B-823A-84BEFE5E5BAC}"/>
    <cellStyle name="Normal_OPSEP" xfId="4334" xr:uid="{B33FB3F4-E614-4162-A0D3-60D1A472D5CA}"/>
    <cellStyle name="Normal_Posturas _1" xfId="4335" xr:uid="{03416777-DC34-4617-BD71-A440025557F0}"/>
    <cellStyle name="Normal_TITULOS" xfId="4338" xr:uid="{FF5ABF23-1C08-4DAC-972B-FB0655BB99EE}"/>
    <cellStyle name="Porcentaje" xfId="10" builtinId="5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Notas de Crédito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General</c:formatCode>
                <c:ptCount val="6"/>
                <c:pt idx="0">
                  <c:v>418947310.14999998</c:v>
                </c:pt>
                <c:pt idx="1">
                  <c:v>363634832.38</c:v>
                </c:pt>
                <c:pt idx="2">
                  <c:v>322018349.92000002</c:v>
                </c:pt>
                <c:pt idx="3">
                  <c:v>60874915.86999996</c:v>
                </c:pt>
                <c:pt idx="4">
                  <c:v>57987835.669999987</c:v>
                </c:pt>
                <c:pt idx="5">
                  <c:v>66213416.840000004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General</c:formatCode>
                <c:ptCount val="6"/>
                <c:pt idx="0">
                  <c:v>350943280.69999999</c:v>
                </c:pt>
                <c:pt idx="1">
                  <c:v>248242640.38999996</c:v>
                </c:pt>
                <c:pt idx="2">
                  <c:v>164958883</c:v>
                </c:pt>
                <c:pt idx="3">
                  <c:v>145146181.78999996</c:v>
                </c:pt>
                <c:pt idx="4">
                  <c:v>46226835.659999996</c:v>
                </c:pt>
                <c:pt idx="5">
                  <c:v>88031606.719999984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1289119883.6899998</c:v>
                </c:pt>
                <c:pt idx="1">
                  <c:v>1416432334.0300002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ENERO-FEBRERO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48649685969978E-2"/>
          <c:y val="0.3106143605542625"/>
          <c:w val="0.91177888053060741"/>
          <c:h val="0.38905773508434838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1289676660.8299999</c:v>
                </c:pt>
                <c:pt idx="1">
                  <c:v>1419527550.8200002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556777.14</c:v>
                </c:pt>
                <c:pt idx="1">
                  <c:v>3095216.7899999991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5.5742245508367129E-2"/>
                  <c:y val="0.1629781266386328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771516969241615"/>
                      <c:h val="8.31930570726498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409973571.37736988</c:v>
                </c:pt>
                <c:pt idx="1">
                  <c:v>539647656.60059249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461742316689"/>
          <c:y val="0.35115289923236825"/>
          <c:w val="0.87960356413688667"/>
          <c:h val="0.40267045256593387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410530348.51736987</c:v>
                </c:pt>
                <c:pt idx="1">
                  <c:v>542742873.39059246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2.1356299822893773E-2"/>
                  <c:y val="-6.87966378257502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-1.904739191938717E-3"/>
                  <c:y val="6.775856418085993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556777.14</c:v>
                </c:pt>
                <c:pt idx="1">
                  <c:v>3095216.7899999991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362209.9</c:v>
                </c:pt>
                <c:pt idx="1">
                  <c:v>549155436.25999987</c:v>
                </c:pt>
                <c:pt idx="2">
                  <c:v>549517646.15999985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1303608.7599999993</c:v>
                </c:pt>
                <c:pt idx="1">
                  <c:v>679230182.68000007</c:v>
                </c:pt>
                <c:pt idx="2">
                  <c:v>680533791.44000006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362209.9</c:v>
                </c:pt>
                <c:pt idx="1">
                  <c:v>181681213.68736991</c:v>
                </c:pt>
                <c:pt idx="2">
                  <c:v>182043423.58736992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1303608.7599999993</c:v>
                </c:pt>
                <c:pt idx="1">
                  <c:v>277231938.14059246</c:v>
                </c:pt>
                <c:pt idx="2">
                  <c:v>278535546.90059245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FEBRERO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84414" y="8370413"/>
          <a:ext cx="9828440" cy="346054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ENERO-FEBRERO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8168A618-1CC9-439F-A573-85595602CCF9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776222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575094</xdr:colOff>
      <xdr:row>0</xdr:row>
      <xdr:rowOff>0</xdr:rowOff>
    </xdr:from>
    <xdr:ext cx="3403418" cy="1049547"/>
    <xdr:pic>
      <xdr:nvPicPr>
        <xdr:cNvPr id="6" name="Imagen 5">
          <a:extLst>
            <a:ext uri="{FF2B5EF4-FFF2-40B4-BE49-F238E27FC236}">
              <a16:creationId xmlns:a16="http://schemas.microsoft.com/office/drawing/2014/main" id="{A016DC64-80E2-47DE-908C-2C7864A3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57056" y="0"/>
          <a:ext cx="3403418" cy="1049547"/>
        </a:xfrm>
        <a:prstGeom prst="rect">
          <a:avLst/>
        </a:prstGeom>
      </xdr:spPr>
    </xdr:pic>
    <xdr:clientData/>
  </xdr:one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0B88574-3519-4292-B668-55ACC6ADC7B1}"/>
            </a:ext>
          </a:extLst>
        </xdr:cNvPr>
        <xdr:cNvSpPr>
          <a:spLocks noChangeArrowheads="1"/>
        </xdr:cNvSpPr>
      </xdr:nvSpPr>
      <xdr:spPr bwMode="auto">
        <a:xfrm>
          <a:off x="2674620" y="18563012"/>
          <a:ext cx="1764030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883920</xdr:colOff>
      <xdr:row>0</xdr:row>
      <xdr:rowOff>0</xdr:rowOff>
    </xdr:from>
    <xdr:ext cx="3403418" cy="1049547"/>
    <xdr:pic>
      <xdr:nvPicPr>
        <xdr:cNvPr id="5" name="Imagen 4">
          <a:extLst>
            <a:ext uri="{FF2B5EF4-FFF2-40B4-BE49-F238E27FC236}">
              <a16:creationId xmlns:a16="http://schemas.microsoft.com/office/drawing/2014/main" id="{6F559650-8B6C-481F-954C-28B3CF044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45400" y="0"/>
          <a:ext cx="3403418" cy="1049547"/>
        </a:xfrm>
        <a:prstGeom prst="rect">
          <a:avLst/>
        </a:prstGeom>
      </xdr:spPr>
    </xdr:pic>
    <xdr:clientData/>
  </xdr:one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1C9FDC-510D-491F-B4DD-55A021C4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4066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BB5B63-1812-4D18-B481-F15FB064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19051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3160591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70" zoomScaleNormal="70" workbookViewId="0">
      <selection activeCell="D43" sqref="D43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1" t="s">
        <v>305</v>
      </c>
      <c r="C1" s="432"/>
      <c r="D1" s="60"/>
      <c r="E1" s="60"/>
      <c r="F1" s="60"/>
      <c r="G1" s="77"/>
    </row>
    <row r="2" spans="1:13" ht="9.75" customHeight="1" x14ac:dyDescent="0.3">
      <c r="B2" s="433" t="s">
        <v>0</v>
      </c>
      <c r="C2" s="434"/>
      <c r="D2" s="434"/>
      <c r="E2" s="434"/>
      <c r="F2" s="434"/>
      <c r="G2" s="435"/>
    </row>
    <row r="3" spans="1:13" s="8" customFormat="1" ht="23.25" customHeight="1" x14ac:dyDescent="0.3">
      <c r="B3" s="433"/>
      <c r="C3" s="434"/>
      <c r="D3" s="434"/>
      <c r="E3" s="434"/>
      <c r="F3" s="434"/>
      <c r="G3" s="435"/>
      <c r="H3" s="78"/>
      <c r="I3" s="7"/>
      <c r="J3" s="7"/>
      <c r="K3" s="7"/>
      <c r="L3" s="7"/>
      <c r="M3" s="7"/>
    </row>
    <row r="4" spans="1:13" s="10" customFormat="1" ht="68.400000000000006" customHeight="1" x14ac:dyDescent="0.3">
      <c r="B4" s="436" t="s">
        <v>528</v>
      </c>
      <c r="C4" s="437"/>
      <c r="D4" s="437"/>
      <c r="E4" s="437"/>
      <c r="F4" s="437"/>
      <c r="G4" s="438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39"/>
      <c r="C5" s="440"/>
      <c r="D5" s="440"/>
      <c r="E5" s="440"/>
      <c r="F5" s="440"/>
      <c r="G5" s="441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61"/>
      <c r="B7" s="428" t="s">
        <v>1</v>
      </c>
      <c r="C7" s="429"/>
      <c r="D7" s="429"/>
      <c r="E7" s="429"/>
      <c r="F7" s="429"/>
      <c r="G7" s="430"/>
      <c r="H7" s="11"/>
      <c r="I7" s="7"/>
      <c r="J7" s="7"/>
      <c r="K7" s="7"/>
      <c r="L7" s="7"/>
      <c r="M7" s="7"/>
    </row>
    <row r="8" spans="1:13" s="8" customFormat="1" x14ac:dyDescent="0.3">
      <c r="A8" s="61"/>
      <c r="B8" s="428" t="s">
        <v>2</v>
      </c>
      <c r="C8" s="429"/>
      <c r="D8" s="429"/>
      <c r="E8" s="429"/>
      <c r="F8" s="429"/>
      <c r="G8" s="430"/>
      <c r="H8" s="11"/>
      <c r="I8" s="7"/>
      <c r="J8" s="7"/>
      <c r="K8" s="7"/>
      <c r="L8" s="7"/>
      <c r="M8" s="7"/>
    </row>
    <row r="9" spans="1:13" s="8" customFormat="1" x14ac:dyDescent="0.3">
      <c r="A9" s="61"/>
      <c r="B9" s="428" t="s">
        <v>306</v>
      </c>
      <c r="C9" s="429"/>
      <c r="D9" s="429"/>
      <c r="E9" s="429"/>
      <c r="F9" s="429"/>
      <c r="G9" s="430"/>
      <c r="H9" s="11"/>
      <c r="I9" s="7"/>
      <c r="J9" s="7"/>
      <c r="K9" s="7"/>
      <c r="L9" s="7"/>
      <c r="M9" s="7"/>
    </row>
    <row r="10" spans="1:13" s="8" customFormat="1" x14ac:dyDescent="0.3">
      <c r="A10" s="61"/>
      <c r="B10" s="425" t="s">
        <v>3</v>
      </c>
      <c r="C10" s="426"/>
      <c r="D10" s="426"/>
      <c r="E10" s="426"/>
      <c r="F10" s="426"/>
      <c r="G10" s="427"/>
      <c r="H10" s="11"/>
      <c r="I10" s="7"/>
      <c r="J10" s="7"/>
      <c r="K10" s="7"/>
      <c r="L10" s="7"/>
      <c r="M10" s="7"/>
    </row>
    <row r="11" spans="1:13" s="8" customFormat="1" x14ac:dyDescent="0.3">
      <c r="A11" s="61"/>
      <c r="B11" s="62"/>
      <c r="C11" s="63"/>
      <c r="D11" s="64"/>
      <c r="E11" s="63"/>
      <c r="F11" s="63"/>
      <c r="G11" s="65"/>
      <c r="H11" s="12"/>
      <c r="I11" s="7"/>
      <c r="J11" s="7"/>
      <c r="K11" s="7"/>
      <c r="L11" s="7"/>
      <c r="M11" s="7"/>
    </row>
    <row r="12" spans="1:13" s="8" customFormat="1" ht="24" x14ac:dyDescent="0.3">
      <c r="A12" s="61"/>
      <c r="B12" s="66"/>
      <c r="C12" s="67" t="s">
        <v>4</v>
      </c>
      <c r="D12" s="67" t="s">
        <v>4</v>
      </c>
      <c r="E12" s="67"/>
      <c r="F12" s="67" t="s">
        <v>5</v>
      </c>
      <c r="G12" s="68" t="s">
        <v>6</v>
      </c>
      <c r="H12" s="13"/>
      <c r="I12" s="7"/>
      <c r="J12" s="7"/>
      <c r="K12" s="7"/>
      <c r="L12" s="7"/>
      <c r="M12" s="7"/>
    </row>
    <row r="13" spans="1:13" s="8" customFormat="1" ht="24" x14ac:dyDescent="0.3">
      <c r="A13" s="61"/>
      <c r="B13" s="66"/>
      <c r="C13" s="69" t="s">
        <v>7</v>
      </c>
      <c r="D13" s="67" t="s">
        <v>8</v>
      </c>
      <c r="E13" s="70"/>
      <c r="F13" s="69" t="s">
        <v>9</v>
      </c>
      <c r="G13" s="71" t="s">
        <v>10</v>
      </c>
      <c r="H13" s="245"/>
      <c r="I13" s="7"/>
      <c r="J13" s="7"/>
      <c r="K13" s="7"/>
      <c r="L13" s="7"/>
      <c r="M13" s="7"/>
    </row>
    <row r="14" spans="1:13" s="8" customFormat="1" ht="24" x14ac:dyDescent="0.3">
      <c r="A14" s="61"/>
      <c r="B14" s="72" t="s">
        <v>11</v>
      </c>
      <c r="C14" s="73">
        <v>362209.9</v>
      </c>
      <c r="D14" s="73">
        <v>1303608.7599999993</v>
      </c>
      <c r="E14" s="74"/>
      <c r="F14" s="75">
        <f>SUM(C14:E14)</f>
        <v>1665818.6599999992</v>
      </c>
      <c r="G14" s="244">
        <f>+C14/F14</f>
        <v>0.21743657259788421</v>
      </c>
      <c r="H14" s="15"/>
      <c r="I14" s="16"/>
      <c r="J14" s="4"/>
      <c r="K14" s="7"/>
      <c r="L14" s="7"/>
      <c r="M14" s="7"/>
    </row>
    <row r="15" spans="1:13" s="8" customFormat="1" ht="24" x14ac:dyDescent="0.3">
      <c r="A15" s="61"/>
      <c r="B15" s="72" t="s">
        <v>12</v>
      </c>
      <c r="C15" s="73">
        <v>549155436.25999987</v>
      </c>
      <c r="D15" s="73">
        <v>679230182.68000007</v>
      </c>
      <c r="E15" s="75"/>
      <c r="F15" s="75">
        <f>SUM(C15:E15)</f>
        <v>1228385618.9400001</v>
      </c>
      <c r="G15" s="244">
        <f>+C15/F15</f>
        <v>0.44705459571716388</v>
      </c>
      <c r="H15" s="15"/>
      <c r="I15" s="7"/>
      <c r="J15" s="7"/>
      <c r="K15" s="7"/>
      <c r="L15" s="7"/>
      <c r="M15" s="7"/>
    </row>
    <row r="16" spans="1:13" s="8" customFormat="1" ht="24" x14ac:dyDescent="0.3">
      <c r="A16" s="61"/>
      <c r="B16" s="76" t="s">
        <v>13</v>
      </c>
      <c r="C16" s="73">
        <f>SUM(C14:C15)</f>
        <v>549517646.15999985</v>
      </c>
      <c r="D16" s="73">
        <v>680533791.44000006</v>
      </c>
      <c r="E16" s="73"/>
      <c r="F16" s="75">
        <f>SUM(F14:F15)</f>
        <v>1230051437.6000001</v>
      </c>
      <c r="G16" s="244">
        <f>+C16/F16</f>
        <v>0.44674363149575641</v>
      </c>
      <c r="H16" s="15"/>
      <c r="I16" s="7"/>
      <c r="J16" s="5"/>
      <c r="K16" s="7"/>
      <c r="L16" s="7"/>
      <c r="M16" s="7"/>
    </row>
    <row r="17" spans="2:13" s="8" customFormat="1" ht="24" x14ac:dyDescent="0.3">
      <c r="B17" s="35"/>
      <c r="C17" s="22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240"/>
      <c r="I23" s="237"/>
      <c r="J23" s="238" t="s">
        <v>14</v>
      </c>
      <c r="K23" s="238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240"/>
      <c r="I24" s="237" t="s">
        <v>11</v>
      </c>
      <c r="J24" s="239">
        <f>C14</f>
        <v>362209.9</v>
      </c>
      <c r="K24" s="239">
        <f>D14</f>
        <v>1303608.7599999993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240"/>
      <c r="I25" s="237" t="s">
        <v>12</v>
      </c>
      <c r="J25" s="239">
        <f t="shared" ref="J25:K26" si="0">C15</f>
        <v>549155436.25999987</v>
      </c>
      <c r="K25" s="239">
        <f t="shared" si="0"/>
        <v>679230182.68000007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240"/>
      <c r="I26" s="237" t="s">
        <v>13</v>
      </c>
      <c r="J26" s="239">
        <f t="shared" si="0"/>
        <v>549517646.15999985</v>
      </c>
      <c r="K26" s="239">
        <f t="shared" si="0"/>
        <v>680533791.44000006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240"/>
      <c r="I27" s="241"/>
      <c r="J27" s="241"/>
      <c r="K27" s="241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240"/>
      <c r="I28" s="241"/>
      <c r="J28" s="242"/>
      <c r="K28" s="241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28" t="s">
        <v>16</v>
      </c>
      <c r="C35" s="429"/>
      <c r="D35" s="429"/>
      <c r="E35" s="429"/>
      <c r="F35" s="429"/>
      <c r="G35" s="430"/>
      <c r="H35" s="6"/>
      <c r="I35" s="7"/>
      <c r="J35" s="20"/>
      <c r="K35" s="7"/>
      <c r="L35" s="7"/>
      <c r="M35" s="7"/>
    </row>
    <row r="36" spans="2:13" s="8" customFormat="1" x14ac:dyDescent="0.3">
      <c r="B36" s="428" t="s">
        <v>2</v>
      </c>
      <c r="C36" s="429"/>
      <c r="D36" s="429"/>
      <c r="E36" s="429"/>
      <c r="F36" s="429"/>
      <c r="G36" s="430"/>
      <c r="H36" s="6"/>
      <c r="I36" s="7"/>
      <c r="J36" s="7"/>
      <c r="K36" s="7"/>
      <c r="L36" s="7"/>
      <c r="M36" s="7"/>
    </row>
    <row r="37" spans="2:13" s="8" customFormat="1" x14ac:dyDescent="0.3">
      <c r="B37" s="428" t="str">
        <f>+B9</f>
        <v>EN FEBRERO DE 2024</v>
      </c>
      <c r="C37" s="429"/>
      <c r="D37" s="429"/>
      <c r="E37" s="429"/>
      <c r="F37" s="429"/>
      <c r="G37" s="430"/>
      <c r="H37" s="6"/>
      <c r="I37" s="7"/>
      <c r="J37" s="7"/>
      <c r="K37" s="7"/>
      <c r="L37" s="7"/>
      <c r="M37" s="7"/>
    </row>
    <row r="38" spans="2:13" s="8" customFormat="1" x14ac:dyDescent="0.3">
      <c r="B38" s="425" t="s">
        <v>17</v>
      </c>
      <c r="C38" s="426"/>
      <c r="D38" s="426"/>
      <c r="E38" s="426"/>
      <c r="F38" s="426"/>
      <c r="G38" s="427"/>
      <c r="H38" s="6"/>
      <c r="I38" s="7"/>
      <c r="J38" s="7"/>
      <c r="K38" s="7"/>
      <c r="L38" s="7"/>
      <c r="M38" s="7"/>
    </row>
    <row r="39" spans="2:13" s="8" customFormat="1" x14ac:dyDescent="0.3">
      <c r="B39" s="79"/>
      <c r="C39" s="80"/>
      <c r="D39" s="81"/>
      <c r="E39" s="80"/>
      <c r="F39" s="80"/>
      <c r="G39" s="82"/>
      <c r="H39" s="7"/>
      <c r="I39" s="7"/>
      <c r="J39" s="7"/>
      <c r="K39" s="7"/>
      <c r="L39" s="7"/>
      <c r="M39" s="7"/>
    </row>
    <row r="40" spans="2:13" s="8" customFormat="1" ht="24" x14ac:dyDescent="0.3">
      <c r="B40" s="79"/>
      <c r="C40" s="83" t="s">
        <v>4</v>
      </c>
      <c r="D40" s="83" t="s">
        <v>4</v>
      </c>
      <c r="E40" s="83"/>
      <c r="F40" s="83" t="s">
        <v>5</v>
      </c>
      <c r="G40" s="84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79"/>
      <c r="C41" s="85" t="s">
        <v>7</v>
      </c>
      <c r="D41" s="83" t="s">
        <v>8</v>
      </c>
      <c r="E41" s="86"/>
      <c r="F41" s="85" t="s">
        <v>9</v>
      </c>
      <c r="G41" s="87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88" t="s">
        <v>11</v>
      </c>
      <c r="C42" s="112">
        <v>362209.9</v>
      </c>
      <c r="D42" s="112">
        <v>1303608.7599999993</v>
      </c>
      <c r="E42" s="113"/>
      <c r="F42" s="114">
        <f>SUM(C42:E42)</f>
        <v>1665818.6599999992</v>
      </c>
      <c r="G42" s="115">
        <f>C42/F42</f>
        <v>0.21743657259788421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88" t="s">
        <v>12</v>
      </c>
      <c r="C43" s="111">
        <v>181681213.68736991</v>
      </c>
      <c r="D43" s="112">
        <v>277231938.14059246</v>
      </c>
      <c r="E43" s="114"/>
      <c r="F43" s="114">
        <f>SUM(C43:E43)</f>
        <v>458913151.8279624</v>
      </c>
      <c r="G43" s="115">
        <f>C43/F43</f>
        <v>0.39589454554459719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90" t="s">
        <v>13</v>
      </c>
      <c r="C44" s="111">
        <f>SUM(C42:C43)</f>
        <v>182043423.58736992</v>
      </c>
      <c r="D44" s="112">
        <f>SUM(D42:D43)</f>
        <v>278535546.90059245</v>
      </c>
      <c r="E44" s="112"/>
      <c r="F44" s="114">
        <f>SUM(F42:F43)</f>
        <v>460578970.48796242</v>
      </c>
      <c r="G44" s="115">
        <f>C44/F44</f>
        <v>0.39524910005010261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91"/>
      <c r="C45" s="92"/>
      <c r="D45" s="93"/>
      <c r="E45" s="93"/>
      <c r="F45" s="94"/>
      <c r="G45" s="95"/>
      <c r="H45" s="17"/>
      <c r="I45" s="7"/>
      <c r="J45" s="7"/>
      <c r="K45" s="7"/>
      <c r="L45" s="7"/>
      <c r="M45" s="7"/>
    </row>
    <row r="46" spans="2:13" s="8" customFormat="1" ht="24" x14ac:dyDescent="0.3">
      <c r="B46" s="96"/>
      <c r="C46" s="89"/>
      <c r="D46" s="97"/>
      <c r="E46" s="97"/>
      <c r="F46" s="98"/>
      <c r="G46" s="98"/>
      <c r="H46" s="17"/>
      <c r="I46" s="7"/>
      <c r="J46" s="7"/>
      <c r="K46" s="7"/>
      <c r="L46" s="7"/>
      <c r="M46" s="7"/>
    </row>
    <row r="47" spans="2:13" s="8" customFormat="1" ht="24" x14ac:dyDescent="0.3">
      <c r="B47" s="96"/>
      <c r="C47" s="89"/>
      <c r="D47" s="97"/>
      <c r="E47" s="97"/>
      <c r="F47" s="98"/>
      <c r="G47" s="98"/>
      <c r="H47" s="17"/>
      <c r="I47" s="7"/>
      <c r="J47" s="7"/>
      <c r="K47" s="7"/>
      <c r="L47" s="7"/>
      <c r="M47" s="7"/>
    </row>
    <row r="48" spans="2:13" s="8" customFormat="1" ht="24" x14ac:dyDescent="0.3">
      <c r="B48" s="96"/>
      <c r="C48" s="89"/>
      <c r="D48" s="97"/>
      <c r="E48" s="97"/>
      <c r="F48" s="98"/>
      <c r="G48" s="98"/>
      <c r="H48" s="17"/>
      <c r="I48" s="7"/>
      <c r="J48" s="7"/>
      <c r="K48" s="7"/>
      <c r="L48" s="7"/>
      <c r="M48" s="7"/>
    </row>
    <row r="49" spans="2:13" s="8" customFormat="1" ht="24" x14ac:dyDescent="0.3">
      <c r="B49" s="96"/>
      <c r="C49" s="89"/>
      <c r="D49" s="97"/>
      <c r="E49" s="97"/>
      <c r="F49" s="98"/>
      <c r="G49" s="98"/>
      <c r="H49" s="17"/>
      <c r="I49" s="7"/>
      <c r="J49" s="7"/>
      <c r="K49" s="7"/>
      <c r="L49" s="7"/>
      <c r="M49" s="7"/>
    </row>
    <row r="50" spans="2:13" s="8" customFormat="1" ht="24" x14ac:dyDescent="0.3">
      <c r="B50" s="96"/>
      <c r="C50" s="97"/>
      <c r="D50" s="97"/>
      <c r="E50" s="97"/>
      <c r="F50" s="98"/>
      <c r="G50" s="98"/>
      <c r="H50" s="17"/>
      <c r="I50" s="7"/>
      <c r="J50" s="7"/>
      <c r="K50" s="7"/>
      <c r="L50" s="7"/>
      <c r="M50" s="7"/>
    </row>
    <row r="51" spans="2:13" s="8" customFormat="1" ht="24" x14ac:dyDescent="0.3">
      <c r="B51" s="80"/>
      <c r="C51" s="80"/>
      <c r="D51" s="80"/>
      <c r="E51" s="80"/>
      <c r="F51" s="98"/>
      <c r="G51" s="98"/>
      <c r="H51" s="17"/>
      <c r="I51" s="243"/>
      <c r="J51" s="238" t="s">
        <v>14</v>
      </c>
      <c r="K51" s="238" t="s">
        <v>15</v>
      </c>
      <c r="L51" s="7"/>
      <c r="M51" s="7"/>
    </row>
    <row r="52" spans="2:13" s="8" customFormat="1" ht="24" x14ac:dyDescent="0.3">
      <c r="B52" s="80"/>
      <c r="C52" s="80"/>
      <c r="D52" s="80"/>
      <c r="E52" s="80"/>
      <c r="F52" s="98"/>
      <c r="G52" s="98"/>
      <c r="H52" s="17"/>
      <c r="I52" s="237" t="s">
        <v>11</v>
      </c>
      <c r="J52" s="239">
        <f>C42</f>
        <v>362209.9</v>
      </c>
      <c r="K52" s="239">
        <f>D42</f>
        <v>1303608.7599999993</v>
      </c>
      <c r="L52" s="7"/>
      <c r="M52" s="7"/>
    </row>
    <row r="53" spans="2:13" s="8" customFormat="1" ht="24" x14ac:dyDescent="0.3">
      <c r="B53" s="80"/>
      <c r="C53" s="80"/>
      <c r="D53" s="80"/>
      <c r="E53" s="80"/>
      <c r="F53" s="98"/>
      <c r="G53" s="98"/>
      <c r="H53" s="17"/>
      <c r="I53" s="237" t="s">
        <v>12</v>
      </c>
      <c r="J53" s="239">
        <f t="shared" ref="J53:K54" si="1">C43</f>
        <v>181681213.68736991</v>
      </c>
      <c r="K53" s="239">
        <f t="shared" si="1"/>
        <v>277231938.14059246</v>
      </c>
      <c r="L53" s="7"/>
      <c r="M53" s="7"/>
    </row>
    <row r="54" spans="2:13" s="8" customFormat="1" ht="24" x14ac:dyDescent="0.3">
      <c r="B54" s="80"/>
      <c r="C54" s="80"/>
      <c r="D54" s="80"/>
      <c r="E54" s="80"/>
      <c r="F54" s="98"/>
      <c r="G54" s="98"/>
      <c r="H54" s="17"/>
      <c r="I54" s="237" t="s">
        <v>13</v>
      </c>
      <c r="J54" s="239">
        <f t="shared" si="1"/>
        <v>182043423.58736992</v>
      </c>
      <c r="K54" s="239">
        <f t="shared" si="1"/>
        <v>278535546.90059245</v>
      </c>
      <c r="L54" s="7"/>
      <c r="M54" s="7"/>
    </row>
    <row r="55" spans="2:13" s="8" customFormat="1" ht="24" x14ac:dyDescent="0.3">
      <c r="B55" s="80"/>
      <c r="C55" s="80"/>
      <c r="D55" s="80"/>
      <c r="E55" s="80"/>
      <c r="F55" s="98"/>
      <c r="G55" s="98"/>
      <c r="H55" s="17"/>
      <c r="I55" s="7"/>
      <c r="J55" s="7"/>
      <c r="K55" s="7"/>
      <c r="L55" s="7"/>
      <c r="M55" s="7"/>
    </row>
    <row r="56" spans="2:13" s="8" customFormat="1" ht="24" x14ac:dyDescent="0.3">
      <c r="B56" s="80"/>
      <c r="C56" s="80"/>
      <c r="D56" s="80"/>
      <c r="E56" s="80"/>
      <c r="F56" s="98"/>
      <c r="G56" s="98"/>
      <c r="H56" s="17"/>
      <c r="I56" s="7"/>
      <c r="J56" s="7"/>
      <c r="K56" s="7"/>
      <c r="L56" s="7"/>
      <c r="M56" s="7"/>
    </row>
    <row r="57" spans="2:13" s="8" customFormat="1" ht="24" x14ac:dyDescent="0.3">
      <c r="B57" s="99"/>
      <c r="C57" s="80"/>
      <c r="D57" s="80"/>
      <c r="E57" s="80"/>
      <c r="F57" s="98"/>
      <c r="G57" s="98"/>
      <c r="H57" s="17"/>
      <c r="I57" s="7"/>
      <c r="J57" s="7"/>
      <c r="K57" s="7"/>
      <c r="L57" s="7"/>
      <c r="M57" s="7"/>
    </row>
    <row r="58" spans="2:13" s="8" customFormat="1" ht="24" x14ac:dyDescent="0.3">
      <c r="B58" s="99"/>
      <c r="C58" s="80"/>
      <c r="D58" s="80"/>
      <c r="E58" s="80"/>
      <c r="F58" s="98"/>
      <c r="G58" s="98"/>
      <c r="H58" s="17"/>
      <c r="I58" s="7"/>
      <c r="J58" s="7"/>
      <c r="K58" s="7"/>
      <c r="L58" s="7"/>
      <c r="M58" s="7"/>
    </row>
    <row r="59" spans="2:13" s="8" customFormat="1" ht="24" x14ac:dyDescent="0.3">
      <c r="B59" s="99"/>
      <c r="C59" s="80"/>
      <c r="D59" s="80"/>
      <c r="E59" s="80"/>
      <c r="F59" s="98"/>
      <c r="G59" s="98"/>
      <c r="H59" s="17"/>
      <c r="I59" s="7"/>
      <c r="J59" s="7"/>
      <c r="K59" s="7"/>
      <c r="L59" s="7"/>
      <c r="M59" s="7"/>
    </row>
    <row r="60" spans="2:13" s="8" customFormat="1" ht="24" x14ac:dyDescent="0.3">
      <c r="B60" s="99"/>
      <c r="C60" s="80"/>
      <c r="D60" s="80"/>
      <c r="E60" s="80"/>
      <c r="F60" s="98"/>
      <c r="G60" s="98"/>
      <c r="H60" s="17"/>
      <c r="I60" s="7"/>
      <c r="J60" s="7"/>
      <c r="K60" s="7"/>
      <c r="L60" s="7"/>
      <c r="M60" s="7"/>
    </row>
    <row r="61" spans="2:13" s="8" customFormat="1" ht="24" x14ac:dyDescent="0.3">
      <c r="B61" s="99"/>
      <c r="C61" s="80"/>
      <c r="D61" s="80"/>
      <c r="E61" s="80"/>
      <c r="F61" s="98"/>
      <c r="G61" s="98"/>
      <c r="H61" s="17"/>
      <c r="I61" s="7"/>
      <c r="J61" s="7"/>
      <c r="K61" s="7"/>
      <c r="L61" s="7"/>
      <c r="M61" s="7"/>
    </row>
    <row r="62" spans="2:13" s="8" customFormat="1" ht="24" x14ac:dyDescent="0.3">
      <c r="B62" s="100"/>
      <c r="C62" s="101"/>
      <c r="D62" s="101"/>
      <c r="E62" s="101"/>
      <c r="F62" s="102"/>
      <c r="G62" s="103"/>
      <c r="H62" s="17"/>
      <c r="I62" s="7"/>
      <c r="J62" s="7"/>
      <c r="K62" s="7"/>
      <c r="L62" s="7"/>
      <c r="M62" s="7"/>
    </row>
    <row r="63" spans="2:13" s="8" customFormat="1" ht="24" x14ac:dyDescent="0.3">
      <c r="B63" s="104" t="s">
        <v>18</v>
      </c>
      <c r="C63" s="97"/>
      <c r="D63" s="97"/>
      <c r="E63" s="97"/>
      <c r="F63" s="98"/>
      <c r="G63" s="105"/>
      <c r="H63" s="17"/>
      <c r="I63" s="7"/>
      <c r="J63" s="7"/>
      <c r="K63" s="7"/>
      <c r="L63" s="7"/>
      <c r="M63" s="7"/>
    </row>
    <row r="64" spans="2:13" s="8" customFormat="1" ht="24" x14ac:dyDescent="0.3">
      <c r="B64" s="104" t="s">
        <v>19</v>
      </c>
      <c r="C64" s="97"/>
      <c r="D64" s="97"/>
      <c r="E64" s="97"/>
      <c r="F64" s="98"/>
      <c r="G64" s="105"/>
      <c r="H64" s="17"/>
      <c r="I64" s="7"/>
      <c r="J64" s="7"/>
      <c r="K64" s="7"/>
      <c r="L64" s="7"/>
      <c r="M64" s="7"/>
    </row>
    <row r="65" spans="2:13" s="8" customFormat="1" ht="24" x14ac:dyDescent="0.3">
      <c r="B65" s="104" t="s">
        <v>20</v>
      </c>
      <c r="C65" s="97"/>
      <c r="D65" s="97"/>
      <c r="E65" s="97"/>
      <c r="F65" s="98"/>
      <c r="G65" s="105"/>
      <c r="H65" s="17"/>
      <c r="I65" s="7"/>
      <c r="J65" s="7"/>
      <c r="K65" s="7"/>
      <c r="L65" s="7"/>
      <c r="M65" s="7"/>
    </row>
    <row r="66" spans="2:13" s="8" customFormat="1" ht="24" x14ac:dyDescent="0.3">
      <c r="B66" s="104" t="s">
        <v>21</v>
      </c>
      <c r="C66" s="97"/>
      <c r="D66" s="97"/>
      <c r="E66" s="97"/>
      <c r="F66" s="98"/>
      <c r="G66" s="105"/>
      <c r="H66" s="17"/>
      <c r="I66" s="7"/>
      <c r="J66" s="7"/>
      <c r="K66" s="7"/>
      <c r="L66" s="7"/>
      <c r="M66" s="7"/>
    </row>
    <row r="67" spans="2:13" s="8" customFormat="1" ht="24" x14ac:dyDescent="0.3">
      <c r="B67" s="104" t="s">
        <v>22</v>
      </c>
      <c r="C67" s="97"/>
      <c r="D67" s="97"/>
      <c r="E67" s="97"/>
      <c r="F67" s="98"/>
      <c r="G67" s="105"/>
      <c r="H67" s="17"/>
      <c r="I67" s="7"/>
      <c r="J67" s="7"/>
      <c r="K67" s="7"/>
      <c r="L67" s="7"/>
      <c r="M67" s="7"/>
    </row>
    <row r="68" spans="2:13" s="8" customFormat="1" ht="24" x14ac:dyDescent="0.3">
      <c r="B68" s="104" t="s">
        <v>23</v>
      </c>
      <c r="C68" s="97"/>
      <c r="D68" s="97"/>
      <c r="E68" s="97"/>
      <c r="F68" s="98"/>
      <c r="G68" s="105"/>
      <c r="H68" s="17"/>
      <c r="I68" s="7"/>
      <c r="J68" s="7"/>
      <c r="K68" s="7"/>
      <c r="L68" s="7"/>
      <c r="M68" s="7"/>
    </row>
    <row r="69" spans="2:13" s="8" customFormat="1" ht="24" x14ac:dyDescent="0.3">
      <c r="B69" s="79"/>
      <c r="C69" s="97"/>
      <c r="D69" s="97"/>
      <c r="E69" s="97"/>
      <c r="F69" s="98"/>
      <c r="G69" s="105"/>
      <c r="H69" s="17"/>
      <c r="I69" s="7"/>
      <c r="J69" s="7"/>
      <c r="K69" s="7"/>
      <c r="L69" s="7"/>
      <c r="M69" s="7"/>
    </row>
    <row r="70" spans="2:13" s="8" customFormat="1" x14ac:dyDescent="0.3">
      <c r="B70" s="88" t="s">
        <v>24</v>
      </c>
      <c r="C70" s="106"/>
      <c r="D70" s="106"/>
      <c r="E70" s="106"/>
      <c r="F70" s="80"/>
      <c r="G70" s="82"/>
      <c r="H70" s="7"/>
      <c r="I70" s="7"/>
      <c r="J70" s="7"/>
      <c r="K70" s="7"/>
      <c r="L70" s="7"/>
      <c r="M70" s="7"/>
    </row>
    <row r="71" spans="2:13" s="8" customFormat="1" x14ac:dyDescent="0.3">
      <c r="B71" s="107" t="s">
        <v>25</v>
      </c>
      <c r="C71" s="108"/>
      <c r="D71" s="108"/>
      <c r="E71" s="108"/>
      <c r="F71" s="109"/>
      <c r="G71" s="110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G21"/>
  <sheetViews>
    <sheetView showGridLines="0" zoomScale="70" zoomScaleNormal="70" workbookViewId="0">
      <selection activeCell="F13" sqref="F13"/>
    </sheetView>
  </sheetViews>
  <sheetFormatPr baseColWidth="10" defaultColWidth="11.5546875" defaultRowHeight="13.2" x14ac:dyDescent="0.3"/>
  <cols>
    <col min="1" max="1" width="1.109375" style="37" customWidth="1"/>
    <col min="2" max="2" width="87.109375" style="37" customWidth="1"/>
    <col min="3" max="4" width="24.5546875" style="37" customWidth="1"/>
    <col min="5" max="5" width="23.88671875" style="37" customWidth="1"/>
    <col min="6" max="16384" width="11.5546875" style="37"/>
  </cols>
  <sheetData>
    <row r="1" spans="2:7" s="7" customFormat="1" ht="73.5" customHeight="1" x14ac:dyDescent="0.3">
      <c r="B1" s="444" t="s">
        <v>529</v>
      </c>
      <c r="C1" s="432"/>
      <c r="D1" s="60"/>
    </row>
    <row r="2" spans="2:7" ht="39.75" customHeight="1" x14ac:dyDescent="0.3">
      <c r="B2" s="442" t="s">
        <v>131</v>
      </c>
      <c r="C2" s="442"/>
      <c r="D2" s="442"/>
      <c r="E2" s="442"/>
    </row>
    <row r="3" spans="2:7" s="7" customFormat="1" ht="51" customHeight="1" x14ac:dyDescent="0.3">
      <c r="B3" s="443" t="s">
        <v>531</v>
      </c>
      <c r="C3" s="443"/>
      <c r="D3" s="443"/>
      <c r="E3" s="443"/>
    </row>
    <row r="4" spans="2:7" s="7" customFormat="1" ht="87.75" customHeight="1" x14ac:dyDescent="0.3">
      <c r="B4" s="443"/>
      <c r="C4" s="443"/>
      <c r="D4" s="443"/>
      <c r="E4" s="443"/>
    </row>
    <row r="5" spans="2:7" ht="6.6" customHeight="1" x14ac:dyDescent="0.3">
      <c r="B5" s="197"/>
      <c r="C5" s="197"/>
      <c r="D5" s="197"/>
      <c r="E5" s="197"/>
    </row>
    <row r="6" spans="2:7" s="39" customFormat="1" ht="42" customHeight="1" x14ac:dyDescent="0.3">
      <c r="B6" s="200"/>
      <c r="C6" s="198">
        <v>2023</v>
      </c>
      <c r="D6" s="198">
        <v>2024</v>
      </c>
      <c r="E6" s="199" t="s">
        <v>26</v>
      </c>
    </row>
    <row r="7" spans="2:7" s="40" customFormat="1" ht="31.8" customHeight="1" x14ac:dyDescent="0.3">
      <c r="B7" s="204" t="s">
        <v>27</v>
      </c>
      <c r="C7" s="205">
        <v>1043549428.2600001</v>
      </c>
      <c r="D7" s="205">
        <v>1289676660.8299999</v>
      </c>
      <c r="E7" s="206">
        <f>(D7-C7)/C7</f>
        <v>0.23585584535309359</v>
      </c>
    </row>
    <row r="8" spans="2:7" s="40" customFormat="1" ht="31.8" customHeight="1" x14ac:dyDescent="0.3">
      <c r="B8" s="204" t="s">
        <v>28</v>
      </c>
      <c r="C8" s="205">
        <v>27461827.059473686</v>
      </c>
      <c r="D8" s="205">
        <f>D7/D18</f>
        <v>31455528.312926829</v>
      </c>
      <c r="E8" s="206">
        <f t="shared" ref="E8:E17" si="0">(D8-C8)/C8</f>
        <v>0.14542736886384294</v>
      </c>
    </row>
    <row r="9" spans="2:7" s="40" customFormat="1" ht="31.8" customHeight="1" x14ac:dyDescent="0.3">
      <c r="B9" s="204" t="s">
        <v>29</v>
      </c>
      <c r="C9" s="205">
        <v>556187308.23391795</v>
      </c>
      <c r="D9" s="205">
        <v>410530348.51736987</v>
      </c>
      <c r="E9" s="206">
        <f t="shared" si="0"/>
        <v>-0.26188472401331486</v>
      </c>
    </row>
    <row r="10" spans="2:7" s="40" customFormat="1" ht="31.8" customHeight="1" x14ac:dyDescent="0.3">
      <c r="B10" s="204" t="s">
        <v>30</v>
      </c>
      <c r="C10" s="205">
        <v>1020605624.7100002</v>
      </c>
      <c r="D10" s="205">
        <v>1289119883.6899998</v>
      </c>
      <c r="E10" s="206">
        <f t="shared" si="0"/>
        <v>0.26309306207899513</v>
      </c>
      <c r="G10" s="247"/>
    </row>
    <row r="11" spans="2:7" s="40" customFormat="1" ht="31.8" customHeight="1" x14ac:dyDescent="0.3">
      <c r="B11" s="204" t="s">
        <v>31</v>
      </c>
      <c r="C11" s="205">
        <v>22943803.550000001</v>
      </c>
      <c r="D11" s="205">
        <f>Nacional!D5</f>
        <v>556777.14</v>
      </c>
      <c r="E11" s="206">
        <f t="shared" si="0"/>
        <v>-0.97573300613446023</v>
      </c>
    </row>
    <row r="12" spans="2:7" s="40" customFormat="1" ht="31.8" customHeight="1" x14ac:dyDescent="0.3">
      <c r="B12" s="204" t="s">
        <v>32</v>
      </c>
      <c r="C12" s="205">
        <v>561568758.43000019</v>
      </c>
      <c r="D12" s="205">
        <v>504228578.33999968</v>
      </c>
      <c r="E12" s="206">
        <f t="shared" si="0"/>
        <v>-0.1021071404511688</v>
      </c>
    </row>
    <row r="13" spans="2:7" s="40" customFormat="1" ht="31.8" customHeight="1" x14ac:dyDescent="0.3">
      <c r="B13" s="204" t="s">
        <v>33</v>
      </c>
      <c r="C13" s="205">
        <v>481980669.82999992</v>
      </c>
      <c r="D13" s="205">
        <v>785448082.49000072</v>
      </c>
      <c r="E13" s="206">
        <f>(D13-C13)/C13</f>
        <v>0.62962569176692751</v>
      </c>
    </row>
    <row r="14" spans="2:7" s="40" customFormat="1" ht="31.8" customHeight="1" x14ac:dyDescent="0.3">
      <c r="B14" s="204" t="s">
        <v>34</v>
      </c>
      <c r="C14" s="205">
        <v>1320.587</v>
      </c>
      <c r="D14" s="205">
        <v>365.18200000000002</v>
      </c>
      <c r="E14" s="206">
        <f t="shared" si="0"/>
        <v>-0.72346994177589208</v>
      </c>
    </row>
    <row r="15" spans="2:7" s="40" customFormat="1" ht="31.8" customHeight="1" x14ac:dyDescent="0.3">
      <c r="B15" s="204" t="s">
        <v>35</v>
      </c>
      <c r="C15" s="205">
        <v>2044</v>
      </c>
      <c r="D15" s="205">
        <v>1536</v>
      </c>
      <c r="E15" s="206">
        <f t="shared" si="0"/>
        <v>-0.24853228962818003</v>
      </c>
    </row>
    <row r="16" spans="2:7" s="40" customFormat="1" ht="31.8" customHeight="1" x14ac:dyDescent="0.3">
      <c r="B16" s="204" t="s">
        <v>36</v>
      </c>
      <c r="C16" s="205">
        <v>53.789473684210527</v>
      </c>
      <c r="D16" s="205">
        <f>D15/D18</f>
        <v>37.463414634146339</v>
      </c>
      <c r="E16" s="206">
        <f t="shared" si="0"/>
        <v>-0.3035177318505084</v>
      </c>
    </row>
    <row r="17" spans="2:5" s="40" customFormat="1" ht="31.8" customHeight="1" x14ac:dyDescent="0.3">
      <c r="B17" s="204" t="s">
        <v>37</v>
      </c>
      <c r="C17" s="246">
        <v>175.5994</v>
      </c>
      <c r="D17" s="246">
        <v>148.7064</v>
      </c>
      <c r="E17" s="206">
        <f t="shared" si="0"/>
        <v>-0.1531497260241208</v>
      </c>
    </row>
    <row r="18" spans="2:5" s="40" customFormat="1" ht="31.8" customHeight="1" x14ac:dyDescent="0.3">
      <c r="B18" s="204" t="s">
        <v>38</v>
      </c>
      <c r="C18" s="205">
        <v>38</v>
      </c>
      <c r="D18" s="205">
        <v>41</v>
      </c>
      <c r="E18" s="206" t="s">
        <v>39</v>
      </c>
    </row>
    <row r="19" spans="2:5" s="40" customFormat="1" ht="20.399999999999999" x14ac:dyDescent="0.3">
      <c r="B19" s="203"/>
      <c r="C19" s="202"/>
      <c r="D19" s="202"/>
      <c r="E19" s="201"/>
    </row>
    <row r="21" spans="2:5" x14ac:dyDescent="0.3">
      <c r="D2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AD65"/>
  <sheetViews>
    <sheetView showGridLines="0" tabSelected="1" zoomScale="55" zoomScaleNormal="55" workbookViewId="0">
      <selection activeCell="U17" sqref="U17"/>
    </sheetView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2.6640625" style="37" customWidth="1"/>
    <col min="4" max="4" width="14.5546875" style="37" customWidth="1"/>
    <col min="5" max="5" width="23.6640625" style="37" customWidth="1"/>
    <col min="6" max="6" width="15.554687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48" customWidth="1"/>
    <col min="13" max="13" width="13.6640625" style="248" bestFit="1" customWidth="1"/>
    <col min="14" max="14" width="11.5546875" style="248" bestFit="1" customWidth="1"/>
    <col min="15" max="15" width="16.33203125" style="248" customWidth="1"/>
    <col min="16" max="16" width="14.44140625" style="248" bestFit="1" customWidth="1"/>
    <col min="17" max="19" width="11.5546875" style="248"/>
    <col min="20" max="16384" width="11.5546875" style="37"/>
  </cols>
  <sheetData>
    <row r="1" spans="2:19" ht="74.25" customHeight="1" x14ac:dyDescent="0.3">
      <c r="B1" s="444" t="s">
        <v>532</v>
      </c>
      <c r="C1" s="444"/>
      <c r="D1" s="444"/>
      <c r="E1" s="444"/>
      <c r="F1" s="444"/>
      <c r="G1" s="207"/>
      <c r="H1" s="207"/>
    </row>
    <row r="2" spans="2:19" ht="11.25" customHeight="1" x14ac:dyDescent="0.3">
      <c r="B2" s="208"/>
      <c r="C2" s="208"/>
      <c r="D2" s="208"/>
      <c r="E2" s="208"/>
      <c r="F2" s="208"/>
      <c r="G2" s="208"/>
      <c r="H2" s="209"/>
      <c r="I2" s="209"/>
    </row>
    <row r="3" spans="2:19" s="56" customFormat="1" ht="40.799999999999997" x14ac:dyDescent="0.3">
      <c r="B3" s="235" t="s">
        <v>40</v>
      </c>
      <c r="C3" s="196" t="s">
        <v>132</v>
      </c>
      <c r="D3" s="236" t="s">
        <v>42</v>
      </c>
      <c r="E3" s="196" t="s">
        <v>41</v>
      </c>
      <c r="F3" s="236" t="s">
        <v>42</v>
      </c>
      <c r="G3" s="236" t="s">
        <v>43</v>
      </c>
      <c r="H3" s="196" t="s">
        <v>133</v>
      </c>
      <c r="I3" s="196" t="s">
        <v>44</v>
      </c>
      <c r="L3" s="249"/>
      <c r="M3" s="249"/>
      <c r="N3" s="249"/>
      <c r="O3" s="249"/>
      <c r="P3" s="249"/>
      <c r="Q3" s="249"/>
      <c r="R3" s="249"/>
      <c r="S3" s="249"/>
    </row>
    <row r="4" spans="2:19" s="56" customFormat="1" ht="12" customHeight="1" x14ac:dyDescent="0.3">
      <c r="B4" s="210"/>
      <c r="C4" s="211"/>
      <c r="D4" s="212"/>
      <c r="E4" s="211"/>
      <c r="F4" s="213"/>
      <c r="G4" s="214"/>
      <c r="H4" s="215"/>
      <c r="I4" s="216"/>
      <c r="L4" s="249"/>
      <c r="M4" s="249"/>
      <c r="N4" s="249"/>
      <c r="O4" s="249"/>
      <c r="P4" s="249"/>
      <c r="Q4" s="249"/>
      <c r="R4" s="249"/>
      <c r="S4" s="249"/>
    </row>
    <row r="5" spans="2:19" s="56" customFormat="1" ht="18" customHeight="1" x14ac:dyDescent="0.3">
      <c r="B5" s="228" t="s">
        <v>45</v>
      </c>
      <c r="C5" s="229">
        <v>521277.1399999999</v>
      </c>
      <c r="D5" s="230">
        <f>C5/$C$25</f>
        <v>4.0419211716564708E-4</v>
      </c>
      <c r="E5" s="229">
        <v>1058687.5499999996</v>
      </c>
      <c r="F5" s="230">
        <f>E5/$E$25</f>
        <v>1.0145063773023581E-3</v>
      </c>
      <c r="G5" s="230">
        <f>(C5-E5)/E5</f>
        <v>-0.50761946714117867</v>
      </c>
      <c r="H5" s="231">
        <f>C5/BVGInfo!$D$18</f>
        <v>12714.07658536585</v>
      </c>
      <c r="I5" s="231">
        <f>E5/BVGInfo!$C$18</f>
        <v>27860.198684210514</v>
      </c>
      <c r="L5" s="249"/>
      <c r="M5" s="249"/>
      <c r="N5" s="249"/>
      <c r="O5" s="249"/>
      <c r="P5" s="249"/>
      <c r="Q5" s="249"/>
      <c r="R5" s="249"/>
      <c r="S5" s="249"/>
    </row>
    <row r="6" spans="2:19" s="56" customFormat="1" ht="20.399999999999999" x14ac:dyDescent="0.3">
      <c r="B6" s="228" t="s">
        <v>46</v>
      </c>
      <c r="C6" s="229">
        <v>0</v>
      </c>
      <c r="D6" s="230">
        <f t="shared" ref="D6:D23" si="0">C6/$C$25</f>
        <v>0</v>
      </c>
      <c r="E6" s="229">
        <v>4116</v>
      </c>
      <c r="F6" s="230">
        <f t="shared" ref="F6:F23" si="1">E6/$E$25</f>
        <v>3.9442309952322642E-6</v>
      </c>
      <c r="G6" s="230">
        <f t="shared" ref="G6:G25" si="2">(C6-E6)/E6</f>
        <v>-1</v>
      </c>
      <c r="H6" s="231">
        <f>C6/BVGInfo!$D$18</f>
        <v>0</v>
      </c>
      <c r="I6" s="231">
        <f>E6/BVGInfo!$C$18</f>
        <v>108.31578947368421</v>
      </c>
      <c r="L6" s="249"/>
      <c r="M6" s="249"/>
      <c r="N6" s="249"/>
      <c r="O6" s="249"/>
      <c r="P6" s="249"/>
      <c r="Q6" s="249"/>
      <c r="R6" s="249"/>
      <c r="S6" s="249"/>
    </row>
    <row r="7" spans="2:19" s="56" customFormat="1" ht="20.399999999999999" x14ac:dyDescent="0.3">
      <c r="B7" s="228" t="s">
        <v>47</v>
      </c>
      <c r="C7" s="229">
        <v>35500</v>
      </c>
      <c r="D7" s="230">
        <f t="shared" si="0"/>
        <v>2.7526279321169683E-5</v>
      </c>
      <c r="E7" s="229">
        <v>21881000</v>
      </c>
      <c r="F7" s="230">
        <f t="shared" si="1"/>
        <v>2.0967861614838965E-2</v>
      </c>
      <c r="G7" s="230">
        <f t="shared" si="2"/>
        <v>-0.99837758786161512</v>
      </c>
      <c r="H7" s="231">
        <f>C7/BVGInfo!$D$18</f>
        <v>865.85365853658539</v>
      </c>
      <c r="I7" s="231">
        <f>E7/BVGInfo!$C$18</f>
        <v>575815.78947368416</v>
      </c>
      <c r="L7" s="249"/>
      <c r="M7" s="249"/>
      <c r="N7" s="249"/>
      <c r="O7" s="249"/>
      <c r="P7" s="249"/>
      <c r="Q7" s="249"/>
      <c r="R7" s="249"/>
      <c r="S7" s="249"/>
    </row>
    <row r="8" spans="2:19" s="56" customFormat="1" ht="20.399999999999999" x14ac:dyDescent="0.3">
      <c r="B8" s="228" t="s">
        <v>48</v>
      </c>
      <c r="C8" s="229">
        <v>0</v>
      </c>
      <c r="D8" s="230">
        <f t="shared" si="0"/>
        <v>0</v>
      </c>
      <c r="E8" s="229">
        <v>460750.46</v>
      </c>
      <c r="F8" s="230">
        <f t="shared" si="1"/>
        <v>4.4152241141873758E-4</v>
      </c>
      <c r="G8" s="230" t="s">
        <v>39</v>
      </c>
      <c r="H8" s="231">
        <f>C8/BVGInfo!$D$18</f>
        <v>0</v>
      </c>
      <c r="I8" s="231">
        <f>E8/BVGInfo!$C$18</f>
        <v>12125.012105263158</v>
      </c>
      <c r="L8" s="249"/>
      <c r="M8" s="249"/>
      <c r="N8" s="249"/>
      <c r="O8" s="249"/>
      <c r="P8" s="249"/>
      <c r="Q8" s="249"/>
      <c r="R8" s="249"/>
      <c r="S8" s="249"/>
    </row>
    <row r="9" spans="2:19" s="56" customFormat="1" ht="20.399999999999999" x14ac:dyDescent="0.3">
      <c r="B9" s="228" t="s">
        <v>49</v>
      </c>
      <c r="C9" s="229">
        <v>10430881.1</v>
      </c>
      <c r="D9" s="230">
        <f t="shared" si="0"/>
        <v>8.0879815978735121E-3</v>
      </c>
      <c r="E9" s="229">
        <v>10493483.48</v>
      </c>
      <c r="F9" s="230">
        <f t="shared" si="1"/>
        <v>1.0055569190907125E-2</v>
      </c>
      <c r="G9" s="230">
        <f t="shared" si="2"/>
        <v>-5.9658339501193758E-3</v>
      </c>
      <c r="H9" s="231">
        <f>C9/BVGInfo!$D$18</f>
        <v>254411.73414634145</v>
      </c>
      <c r="I9" s="231">
        <f>E9/BVGInfo!$C$18</f>
        <v>276144.30210526317</v>
      </c>
      <c r="L9" s="249"/>
      <c r="M9" s="249"/>
      <c r="N9" s="249"/>
      <c r="O9" s="249"/>
      <c r="P9" s="249"/>
      <c r="Q9" s="249"/>
      <c r="R9" s="249"/>
      <c r="S9" s="249"/>
    </row>
    <row r="10" spans="2:19" s="56" customFormat="1" ht="20.399999999999999" x14ac:dyDescent="0.3">
      <c r="B10" s="228" t="s">
        <v>50</v>
      </c>
      <c r="C10" s="229">
        <v>34999816.699999996</v>
      </c>
      <c r="D10" s="230">
        <f t="shared" si="0"/>
        <v>2.7138443117575753E-2</v>
      </c>
      <c r="E10" s="229">
        <v>26219951.169999994</v>
      </c>
      <c r="F10" s="230">
        <f t="shared" si="1"/>
        <v>2.512573957681984E-2</v>
      </c>
      <c r="G10" s="230">
        <f t="shared" si="2"/>
        <v>0.33485438142408269</v>
      </c>
      <c r="H10" s="231">
        <f>C10/BVGInfo!$D$18</f>
        <v>853654.06585365848</v>
      </c>
      <c r="I10" s="231">
        <f>E10/BVGInfo!$C$18</f>
        <v>689998.71499999985</v>
      </c>
      <c r="L10" s="249"/>
      <c r="M10" s="249"/>
      <c r="N10" s="249"/>
      <c r="O10" s="249"/>
      <c r="P10" s="249"/>
      <c r="Q10" s="249"/>
      <c r="R10" s="249"/>
      <c r="S10" s="249"/>
    </row>
    <row r="11" spans="2:19" s="56" customFormat="1" ht="20.399999999999999" x14ac:dyDescent="0.3">
      <c r="B11" s="228" t="s">
        <v>51</v>
      </c>
      <c r="C11" s="229">
        <v>418947310.14999998</v>
      </c>
      <c r="D11" s="230">
        <f t="shared" si="0"/>
        <v>0.32484677971948184</v>
      </c>
      <c r="E11" s="229">
        <v>350943280.69999999</v>
      </c>
      <c r="F11" s="230">
        <f t="shared" si="1"/>
        <v>0.33629770780015478</v>
      </c>
      <c r="G11" s="230">
        <f t="shared" si="2"/>
        <v>0.19377498641477761</v>
      </c>
      <c r="H11" s="231">
        <f>C11/BVGInfo!$D$18</f>
        <v>10218227.076829268</v>
      </c>
      <c r="I11" s="231">
        <f>E11/BVGInfo!$C$18</f>
        <v>9235349.4921052624</v>
      </c>
      <c r="L11" s="249"/>
      <c r="M11" s="249"/>
      <c r="N11" s="249"/>
      <c r="O11" s="249"/>
      <c r="P11" s="249"/>
      <c r="Q11" s="249"/>
      <c r="R11" s="249"/>
      <c r="S11" s="249"/>
    </row>
    <row r="12" spans="2:19" s="56" customFormat="1" ht="20.399999999999999" x14ac:dyDescent="0.3">
      <c r="B12" s="228" t="s">
        <v>52</v>
      </c>
      <c r="C12" s="229">
        <v>0</v>
      </c>
      <c r="D12" s="230">
        <f t="shared" si="0"/>
        <v>0</v>
      </c>
      <c r="E12" s="229">
        <v>0</v>
      </c>
      <c r="F12" s="230">
        <f t="shared" si="1"/>
        <v>0</v>
      </c>
      <c r="G12" s="230" t="s">
        <v>39</v>
      </c>
      <c r="H12" s="231">
        <f>C12/BVGInfo!$D$18</f>
        <v>0</v>
      </c>
      <c r="I12" s="231">
        <f>E12/BVGInfo!$C$18</f>
        <v>0</v>
      </c>
      <c r="L12" s="249"/>
      <c r="M12" s="249"/>
      <c r="N12" s="249"/>
      <c r="O12" s="249"/>
      <c r="P12" s="249"/>
      <c r="Q12" s="249"/>
      <c r="R12" s="249"/>
      <c r="S12" s="249"/>
    </row>
    <row r="13" spans="2:19" s="56" customFormat="1" ht="20.399999999999999" x14ac:dyDescent="0.3">
      <c r="B13" s="228" t="s">
        <v>53</v>
      </c>
      <c r="C13" s="229">
        <v>322018349.92000002</v>
      </c>
      <c r="D13" s="230">
        <f t="shared" si="0"/>
        <v>0.24968921257577689</v>
      </c>
      <c r="E13" s="229">
        <v>164958883</v>
      </c>
      <c r="F13" s="230">
        <f t="shared" si="1"/>
        <v>0.15807481517674749</v>
      </c>
      <c r="G13" s="230">
        <f t="shared" si="2"/>
        <v>0.95211281783473289</v>
      </c>
      <c r="H13" s="231">
        <f>C13/BVGInfo!$D$18</f>
        <v>7854106.0956097562</v>
      </c>
      <c r="I13" s="231">
        <f>E13/BVGInfo!$C$18</f>
        <v>4341023.2368421052</v>
      </c>
      <c r="L13" s="249"/>
      <c r="M13" s="249"/>
      <c r="N13" s="249"/>
      <c r="O13" s="249"/>
      <c r="P13" s="249"/>
      <c r="Q13" s="249"/>
      <c r="R13" s="249"/>
      <c r="S13" s="249"/>
    </row>
    <row r="14" spans="2:19" s="56" customFormat="1" ht="20.399999999999999" x14ac:dyDescent="0.3">
      <c r="B14" s="228" t="s">
        <v>54</v>
      </c>
      <c r="C14" s="229">
        <v>0</v>
      </c>
      <c r="D14" s="230">
        <f t="shared" si="0"/>
        <v>0</v>
      </c>
      <c r="E14" s="229">
        <v>0</v>
      </c>
      <c r="F14" s="230">
        <f t="shared" si="1"/>
        <v>0</v>
      </c>
      <c r="G14" s="230" t="s">
        <v>39</v>
      </c>
      <c r="H14" s="231">
        <f>C14/BVGInfo!$D$18</f>
        <v>0</v>
      </c>
      <c r="I14" s="231">
        <f>E14/BVGInfo!$C$18</f>
        <v>0</v>
      </c>
      <c r="L14" s="249"/>
      <c r="M14" s="249"/>
      <c r="N14" s="249"/>
      <c r="O14" s="249"/>
      <c r="P14" s="249"/>
      <c r="Q14" s="249"/>
      <c r="R14" s="249"/>
      <c r="S14" s="249"/>
    </row>
    <row r="15" spans="2:19" s="56" customFormat="1" ht="20.399999999999999" x14ac:dyDescent="0.3">
      <c r="B15" s="228" t="s">
        <v>55</v>
      </c>
      <c r="C15" s="229">
        <v>363634832.38</v>
      </c>
      <c r="D15" s="230">
        <f t="shared" si="0"/>
        <v>0.28195813991545343</v>
      </c>
      <c r="E15" s="229">
        <v>248242640.38999996</v>
      </c>
      <c r="F15" s="230">
        <f t="shared" si="1"/>
        <v>0.23788297292627178</v>
      </c>
      <c r="G15" s="230">
        <f t="shared" si="2"/>
        <v>0.46483630615882066</v>
      </c>
      <c r="H15" s="231">
        <f>C15/BVGInfo!$D$18</f>
        <v>8869142.2531707324</v>
      </c>
      <c r="I15" s="231">
        <f>E15/BVGInfo!$C$18</f>
        <v>6532701.0628947355</v>
      </c>
      <c r="L15" s="249"/>
      <c r="M15" s="249"/>
      <c r="N15" s="249"/>
      <c r="O15" s="249"/>
      <c r="P15" s="249"/>
      <c r="Q15" s="249"/>
      <c r="R15" s="249"/>
      <c r="S15" s="249"/>
    </row>
    <row r="16" spans="2:19" s="56" customFormat="1" ht="20.399999999999999" x14ac:dyDescent="0.3">
      <c r="B16" s="228" t="s">
        <v>56</v>
      </c>
      <c r="C16" s="229">
        <v>508341.17000000004</v>
      </c>
      <c r="D16" s="230">
        <f t="shared" si="0"/>
        <v>3.9416171932028744E-4</v>
      </c>
      <c r="E16" s="229">
        <v>2906270.4200000004</v>
      </c>
      <c r="F16" s="230">
        <f t="shared" si="1"/>
        <v>2.7849858773301003E-3</v>
      </c>
      <c r="G16" s="230">
        <f t="shared" si="2"/>
        <v>-0.82508813821942972</v>
      </c>
      <c r="H16" s="231">
        <f>C16/BVGInfo!$D$18</f>
        <v>12398.56512195122</v>
      </c>
      <c r="I16" s="231">
        <f>E16/BVGInfo!$C$18</f>
        <v>76480.800526315797</v>
      </c>
      <c r="L16" s="249"/>
      <c r="M16" s="249"/>
      <c r="N16" s="249"/>
      <c r="O16" s="249"/>
      <c r="P16" s="249"/>
      <c r="Q16" s="249"/>
      <c r="R16" s="249"/>
      <c r="S16" s="249"/>
    </row>
    <row r="17" spans="2:30" s="56" customFormat="1" ht="20.399999999999999" x14ac:dyDescent="0.3">
      <c r="B17" s="228" t="s">
        <v>57</v>
      </c>
      <c r="C17" s="229">
        <v>2230623.8899999997</v>
      </c>
      <c r="D17" s="230">
        <f t="shared" si="0"/>
        <v>1.7295993311722273E-3</v>
      </c>
      <c r="E17" s="229">
        <v>2867789.5</v>
      </c>
      <c r="F17" s="230">
        <f t="shared" si="1"/>
        <v>2.7481108439508352E-3</v>
      </c>
      <c r="G17" s="230">
        <f t="shared" si="2"/>
        <v>-0.22218004843103037</v>
      </c>
      <c r="H17" s="231">
        <f>C17/BVGInfo!$D$18</f>
        <v>54405.46073170731</v>
      </c>
      <c r="I17" s="231">
        <f>E17/BVGInfo!$C$18</f>
        <v>75468.144736842107</v>
      </c>
      <c r="L17" s="249"/>
      <c r="M17" s="249"/>
      <c r="N17" s="249"/>
      <c r="O17" s="249"/>
      <c r="P17" s="249"/>
      <c r="Q17" s="249"/>
      <c r="R17" s="249"/>
      <c r="S17" s="249"/>
    </row>
    <row r="18" spans="2:30" s="56" customFormat="1" ht="20.399999999999999" x14ac:dyDescent="0.3">
      <c r="B18" s="228" t="s">
        <v>58</v>
      </c>
      <c r="C18" s="229">
        <v>60874915.86999996</v>
      </c>
      <c r="D18" s="230">
        <f t="shared" si="0"/>
        <v>4.7201688391276732E-2</v>
      </c>
      <c r="E18" s="229">
        <v>46226835.659999996</v>
      </c>
      <c r="F18" s="230">
        <f t="shared" si="1"/>
        <v>4.4297696312361544E-2</v>
      </c>
      <c r="G18" s="230">
        <f t="shared" si="2"/>
        <v>0.31687395429220183</v>
      </c>
      <c r="H18" s="231">
        <f>C18/BVGInfo!$D$18</f>
        <v>1484754.0456097552</v>
      </c>
      <c r="I18" s="231">
        <f>E18/BVGInfo!$C$18</f>
        <v>1216495.6752631578</v>
      </c>
      <c r="L18" s="249"/>
      <c r="M18" s="249"/>
      <c r="N18" s="249"/>
      <c r="O18" s="249"/>
      <c r="P18" s="249"/>
      <c r="Q18" s="249"/>
      <c r="R18" s="249"/>
      <c r="S18" s="249"/>
    </row>
    <row r="19" spans="2:30" s="56" customFormat="1" ht="20.399999999999999" x14ac:dyDescent="0.3">
      <c r="B19" s="228" t="s">
        <v>59</v>
      </c>
      <c r="C19" s="229">
        <v>57987835.669999987</v>
      </c>
      <c r="D19" s="230">
        <f t="shared" si="0"/>
        <v>4.4963080616408628E-2</v>
      </c>
      <c r="E19" s="229">
        <v>145146181.78999996</v>
      </c>
      <c r="F19" s="230">
        <f t="shared" si="1"/>
        <v>0.13908893806018824</v>
      </c>
      <c r="G19" s="230">
        <f t="shared" si="2"/>
        <v>-0.60048666141354101</v>
      </c>
      <c r="H19" s="231">
        <f>C19/BVGInfo!$D$18</f>
        <v>1414337.4553658534</v>
      </c>
      <c r="I19" s="231">
        <f>E19/BVGInfo!$C$18</f>
        <v>3819636.3628947358</v>
      </c>
      <c r="L19" s="249"/>
      <c r="M19" s="249"/>
      <c r="N19" s="249"/>
      <c r="O19" s="249"/>
      <c r="P19" s="249"/>
      <c r="Q19" s="249"/>
      <c r="R19" s="249"/>
      <c r="S19" s="249"/>
    </row>
    <row r="20" spans="2:30" s="56" customFormat="1" ht="20.399999999999999" x14ac:dyDescent="0.3">
      <c r="B20" s="228" t="s">
        <v>60</v>
      </c>
      <c r="C20" s="229">
        <v>13442930.380000001</v>
      </c>
      <c r="D20" s="230">
        <f t="shared" si="0"/>
        <v>1.0423488916476556E-2</v>
      </c>
      <c r="E20" s="229">
        <v>19593693.73</v>
      </c>
      <c r="F20" s="230">
        <f t="shared" si="1"/>
        <v>1.8776009261650652E-2</v>
      </c>
      <c r="G20" s="230">
        <f t="shared" si="2"/>
        <v>-0.31391545845092678</v>
      </c>
      <c r="H20" s="231">
        <f>C20/BVGInfo!$D$18</f>
        <v>327876.35073170735</v>
      </c>
      <c r="I20" s="231">
        <f>E20/BVGInfo!$C$18</f>
        <v>515623.51921052631</v>
      </c>
      <c r="L20" s="249"/>
      <c r="M20" s="249"/>
      <c r="N20" s="249"/>
      <c r="O20" s="249"/>
      <c r="P20" s="249"/>
      <c r="Q20" s="249"/>
      <c r="R20" s="249"/>
      <c r="S20" s="249"/>
    </row>
    <row r="21" spans="2:30" s="56" customFormat="1" ht="20.399999999999999" x14ac:dyDescent="0.3">
      <c r="B21" s="228" t="s">
        <v>61</v>
      </c>
      <c r="C21" s="229">
        <v>1101180.1500000004</v>
      </c>
      <c r="D21" s="230">
        <f t="shared" si="0"/>
        <v>8.5384203920640955E-4</v>
      </c>
      <c r="E21" s="229">
        <v>0</v>
      </c>
      <c r="F21" s="230">
        <f t="shared" si="1"/>
        <v>0</v>
      </c>
      <c r="G21" s="230" t="s">
        <v>39</v>
      </c>
      <c r="H21" s="231">
        <f>C21/BVGInfo!$D$18</f>
        <v>26858.052439024399</v>
      </c>
      <c r="I21" s="231">
        <f>E21/BVGInfo!$C$18</f>
        <v>0</v>
      </c>
      <c r="L21" s="249"/>
      <c r="M21" s="249"/>
      <c r="N21" s="249"/>
      <c r="O21" s="249"/>
      <c r="P21" s="249"/>
      <c r="Q21" s="249"/>
      <c r="R21" s="249"/>
      <c r="S21" s="249"/>
    </row>
    <row r="22" spans="2:30" s="56" customFormat="1" ht="20.399999999999999" x14ac:dyDescent="0.3">
      <c r="B22" s="228" t="s">
        <v>62</v>
      </c>
      <c r="C22" s="229">
        <v>0</v>
      </c>
      <c r="D22" s="230">
        <f t="shared" si="0"/>
        <v>0</v>
      </c>
      <c r="E22" s="229">
        <v>0</v>
      </c>
      <c r="F22" s="230">
        <f t="shared" si="1"/>
        <v>0</v>
      </c>
      <c r="G22" s="230" t="s">
        <v>39</v>
      </c>
      <c r="H22" s="231">
        <f>C22/BVGInfo!$D$18</f>
        <v>0</v>
      </c>
      <c r="I22" s="231">
        <f>E22/BVGInfo!$C$18</f>
        <v>0</v>
      </c>
      <c r="L22" s="249"/>
      <c r="M22" s="249"/>
      <c r="N22" s="249"/>
      <c r="O22" s="249"/>
      <c r="P22" s="249"/>
      <c r="Q22" s="249"/>
      <c r="R22" s="249"/>
      <c r="S22" s="249"/>
    </row>
    <row r="23" spans="2:30" s="56" customFormat="1" ht="20.399999999999999" x14ac:dyDescent="0.3">
      <c r="B23" s="228" t="s">
        <v>63</v>
      </c>
      <c r="C23" s="229">
        <v>2942866.31</v>
      </c>
      <c r="D23" s="230">
        <f t="shared" si="0"/>
        <v>2.2818636634907023E-3</v>
      </c>
      <c r="E23" s="229">
        <v>2545864.41</v>
      </c>
      <c r="F23" s="230">
        <f t="shared" si="1"/>
        <v>2.4396203390623671E-3</v>
      </c>
      <c r="G23" s="230">
        <f t="shared" si="2"/>
        <v>0.15593992297492382</v>
      </c>
      <c r="H23" s="231">
        <f>C23/BVGInfo!$D$18</f>
        <v>71777.227073170739</v>
      </c>
      <c r="I23" s="231">
        <f>E23/BVGInfo!$C$18</f>
        <v>66996.431842105274</v>
      </c>
      <c r="L23" s="249"/>
      <c r="M23" s="249"/>
      <c r="N23" s="249"/>
      <c r="O23" s="249"/>
      <c r="P23" s="249"/>
      <c r="Q23" s="249"/>
      <c r="R23" s="249"/>
      <c r="S23" s="249"/>
    </row>
    <row r="24" spans="2:30" s="56" customFormat="1" ht="20.399999999999999" x14ac:dyDescent="0.3">
      <c r="B24" s="217"/>
      <c r="C24" s="211"/>
      <c r="D24" s="213"/>
      <c r="E24" s="216"/>
      <c r="F24" s="213"/>
      <c r="G24" s="218"/>
      <c r="H24" s="216"/>
      <c r="I24" s="216"/>
      <c r="L24" s="249"/>
      <c r="M24" s="249"/>
      <c r="N24" s="249"/>
      <c r="O24" s="249"/>
      <c r="P24" s="249"/>
      <c r="Q24" s="249"/>
      <c r="R24" s="249"/>
      <c r="S24" s="249"/>
    </row>
    <row r="25" spans="2:30" s="56" customFormat="1" ht="20.399999999999999" x14ac:dyDescent="0.3">
      <c r="B25" s="232" t="s">
        <v>13</v>
      </c>
      <c r="C25" s="233">
        <f>SUM(C5:C24)</f>
        <v>1289676660.8300002</v>
      </c>
      <c r="D25" s="234">
        <f>SUM(D5:D24)</f>
        <v>0.99999999999999989</v>
      </c>
      <c r="E25" s="233">
        <f>SUM(E5:E24)</f>
        <v>1043549428.2599999</v>
      </c>
      <c r="F25" s="234">
        <f>SUM(F5:F24)</f>
        <v>1.0000000000000002</v>
      </c>
      <c r="G25" s="234">
        <f t="shared" si="2"/>
        <v>0.23585584535309409</v>
      </c>
      <c r="H25" s="233">
        <f>C25/BVGInfo!$D$18</f>
        <v>31455528.312926833</v>
      </c>
      <c r="I25" s="233">
        <f>E25/BVGInfo!$C$18</f>
        <v>27461827.059473682</v>
      </c>
      <c r="L25" s="249"/>
      <c r="M25" s="249"/>
      <c r="N25" s="249"/>
      <c r="O25" s="249"/>
      <c r="P25" s="249"/>
      <c r="Q25" s="249"/>
      <c r="R25" s="249"/>
      <c r="S25" s="249"/>
    </row>
    <row r="26" spans="2:30" ht="5.25" customHeight="1" x14ac:dyDescent="0.3">
      <c r="B26" s="18"/>
      <c r="C26" s="219"/>
      <c r="D26" s="220"/>
      <c r="E26" s="219"/>
      <c r="F26" s="220"/>
      <c r="G26" s="221"/>
      <c r="H26" s="222"/>
      <c r="I26" s="222"/>
    </row>
    <row r="27" spans="2:30" x14ac:dyDescent="0.3">
      <c r="B27" s="223"/>
      <c r="C27" s="224"/>
      <c r="D27" s="225"/>
      <c r="E27" s="226"/>
      <c r="F27" s="225"/>
      <c r="G27" s="225"/>
      <c r="H27" s="162"/>
      <c r="I27" s="162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</row>
    <row r="28" spans="2:30" x14ac:dyDescent="0.3">
      <c r="C28" s="38"/>
      <c r="E28" s="227"/>
      <c r="F28" s="209"/>
      <c r="H28" s="209"/>
      <c r="I28" s="209"/>
      <c r="L28" s="300"/>
      <c r="M28" s="300"/>
      <c r="N28" s="300"/>
      <c r="O28" s="300"/>
      <c r="P28" s="300"/>
      <c r="Q28" s="300"/>
      <c r="R28" s="300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</row>
    <row r="29" spans="2:30" x14ac:dyDescent="0.3">
      <c r="E29" s="209"/>
      <c r="F29" s="209"/>
      <c r="H29" s="209"/>
      <c r="I29" s="209"/>
      <c r="L29" s="300"/>
      <c r="M29" s="300"/>
      <c r="N29" s="300"/>
      <c r="O29" s="300"/>
      <c r="P29" s="300"/>
      <c r="Q29" s="300"/>
      <c r="R29" s="300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</row>
    <row r="30" spans="2:30" x14ac:dyDescent="0.3">
      <c r="E30" s="209"/>
      <c r="F30" s="209"/>
      <c r="H30" s="209"/>
      <c r="I30" s="209"/>
      <c r="L30" s="300"/>
      <c r="M30" s="300"/>
      <c r="N30" s="300"/>
      <c r="O30" s="300"/>
      <c r="P30" s="300"/>
      <c r="Q30" s="300"/>
      <c r="R30" s="300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</row>
    <row r="31" spans="2:30" x14ac:dyDescent="0.3">
      <c r="E31" s="209"/>
      <c r="F31" s="209"/>
      <c r="H31" s="209"/>
      <c r="I31" s="209"/>
      <c r="L31" s="300"/>
      <c r="M31" s="300">
        <v>2024</v>
      </c>
      <c r="N31" s="300"/>
      <c r="O31" s="300"/>
      <c r="P31" s="300">
        <v>2023</v>
      </c>
      <c r="Q31" s="300"/>
      <c r="R31" s="300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</row>
    <row r="32" spans="2:30" ht="11.25" customHeight="1" x14ac:dyDescent="0.3">
      <c r="E32" s="209"/>
      <c r="F32" s="209"/>
      <c r="H32" s="209"/>
      <c r="I32" s="209"/>
      <c r="L32" s="300"/>
      <c r="M32" s="300"/>
      <c r="N32" s="300"/>
      <c r="O32" s="300"/>
      <c r="P32" s="300"/>
      <c r="Q32" s="300"/>
      <c r="R32" s="300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</row>
    <row r="33" spans="5:30" x14ac:dyDescent="0.3">
      <c r="E33" s="209"/>
      <c r="F33" s="209"/>
      <c r="H33" s="209"/>
      <c r="I33" s="209"/>
      <c r="L33" s="300" t="s">
        <v>51</v>
      </c>
      <c r="M33" s="300">
        <v>418947310.14999998</v>
      </c>
      <c r="N33" s="300">
        <f>+M33/$M$39</f>
        <v>0.32484677971948189</v>
      </c>
      <c r="O33" s="300" t="s">
        <v>51</v>
      </c>
      <c r="P33" s="300">
        <v>350943280.69999999</v>
      </c>
      <c r="Q33" s="300">
        <f>+P33/$P$39</f>
        <v>0.33629770780015478</v>
      </c>
      <c r="R33" s="300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</row>
    <row r="34" spans="5:30" x14ac:dyDescent="0.3">
      <c r="E34" s="209"/>
      <c r="F34" s="209"/>
      <c r="H34" s="209"/>
      <c r="I34" s="209"/>
      <c r="L34" s="300" t="s">
        <v>55</v>
      </c>
      <c r="M34" s="300">
        <v>363634832.38</v>
      </c>
      <c r="N34" s="300">
        <f t="shared" ref="N34:N39" si="3">+M34/$M$39</f>
        <v>0.28195813991545349</v>
      </c>
      <c r="O34" s="300" t="s">
        <v>55</v>
      </c>
      <c r="P34" s="300">
        <v>248242640.38999996</v>
      </c>
      <c r="Q34" s="300">
        <f t="shared" ref="Q34:Q39" si="4">+P34/$P$39</f>
        <v>0.23788297292627178</v>
      </c>
      <c r="R34" s="300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</row>
    <row r="35" spans="5:30" x14ac:dyDescent="0.3">
      <c r="E35" s="209"/>
      <c r="F35" s="209"/>
      <c r="H35" s="209"/>
      <c r="I35" s="209"/>
      <c r="L35" s="300" t="s">
        <v>53</v>
      </c>
      <c r="M35" s="300">
        <v>322018349.92000002</v>
      </c>
      <c r="N35" s="300">
        <f t="shared" si="3"/>
        <v>0.24968921257577692</v>
      </c>
      <c r="O35" s="300" t="s">
        <v>53</v>
      </c>
      <c r="P35" s="300">
        <v>164958883</v>
      </c>
      <c r="Q35" s="300">
        <f t="shared" si="4"/>
        <v>0.15807481517674749</v>
      </c>
      <c r="R35" s="300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</row>
    <row r="36" spans="5:30" x14ac:dyDescent="0.3">
      <c r="E36" s="209"/>
      <c r="F36" s="209"/>
      <c r="H36" s="209"/>
      <c r="I36" s="209"/>
      <c r="L36" s="300" t="s">
        <v>58</v>
      </c>
      <c r="M36" s="300">
        <v>60874915.86999996</v>
      </c>
      <c r="N36" s="300">
        <f t="shared" si="3"/>
        <v>4.7201688391276746E-2</v>
      </c>
      <c r="O36" s="300" t="s">
        <v>59</v>
      </c>
      <c r="P36" s="300">
        <v>145146181.78999996</v>
      </c>
      <c r="Q36" s="300">
        <f t="shared" si="4"/>
        <v>0.13908893806018824</v>
      </c>
      <c r="R36" s="300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</row>
    <row r="37" spans="5:30" x14ac:dyDescent="0.3">
      <c r="E37" s="209"/>
      <c r="F37" s="209"/>
      <c r="H37" s="209"/>
      <c r="I37" s="209"/>
      <c r="L37" s="300" t="s">
        <v>59</v>
      </c>
      <c r="M37" s="300">
        <v>57987835.669999987</v>
      </c>
      <c r="N37" s="300">
        <f t="shared" si="3"/>
        <v>4.4963080616408635E-2</v>
      </c>
      <c r="O37" s="300" t="s">
        <v>58</v>
      </c>
      <c r="P37" s="300">
        <v>46226835.659999996</v>
      </c>
      <c r="Q37" s="300">
        <f t="shared" si="4"/>
        <v>4.4297696312361544E-2</v>
      </c>
      <c r="R37" s="300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</row>
    <row r="38" spans="5:30" x14ac:dyDescent="0.3">
      <c r="E38" s="209"/>
      <c r="F38" s="209"/>
      <c r="H38" s="209"/>
      <c r="I38" s="209"/>
      <c r="L38" s="300" t="s">
        <v>64</v>
      </c>
      <c r="M38" s="300">
        <v>66213416.840000004</v>
      </c>
      <c r="N38" s="300">
        <f t="shared" si="3"/>
        <v>5.1341098781602278E-2</v>
      </c>
      <c r="O38" s="300" t="s">
        <v>64</v>
      </c>
      <c r="P38" s="300">
        <v>88031606.719999984</v>
      </c>
      <c r="Q38" s="300">
        <f t="shared" si="4"/>
        <v>8.4357869724276197E-2</v>
      </c>
      <c r="R38" s="300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</row>
    <row r="39" spans="5:30" x14ac:dyDescent="0.3">
      <c r="E39" s="209"/>
      <c r="F39" s="209"/>
      <c r="H39" s="209"/>
      <c r="I39" s="209"/>
      <c r="L39" s="300" t="s">
        <v>65</v>
      </c>
      <c r="M39" s="300">
        <f>SUM(M33:M38)</f>
        <v>1289676660.8299999</v>
      </c>
      <c r="N39" s="300">
        <f t="shared" si="3"/>
        <v>1</v>
      </c>
      <c r="O39" s="300" t="s">
        <v>65</v>
      </c>
      <c r="P39" s="300">
        <f>SUM(P33:P38)</f>
        <v>1043549428.2599999</v>
      </c>
      <c r="Q39" s="300">
        <f t="shared" si="4"/>
        <v>1</v>
      </c>
      <c r="R39" s="300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</row>
    <row r="40" spans="5:30" x14ac:dyDescent="0.3">
      <c r="E40" s="209"/>
      <c r="F40" s="209"/>
      <c r="H40" s="209"/>
      <c r="I40" s="209"/>
      <c r="L40" s="300" t="s">
        <v>66</v>
      </c>
      <c r="M40" s="300">
        <v>22</v>
      </c>
      <c r="N40" s="300"/>
      <c r="O40" s="300" t="s">
        <v>66</v>
      </c>
      <c r="P40" s="300">
        <v>21</v>
      </c>
      <c r="Q40" s="300"/>
      <c r="R40" s="300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</row>
    <row r="41" spans="5:30" x14ac:dyDescent="0.3">
      <c r="E41" s="209"/>
      <c r="F41" s="209"/>
      <c r="H41" s="209"/>
      <c r="I41" s="209"/>
      <c r="L41" s="300"/>
      <c r="M41" s="300"/>
      <c r="N41" s="300"/>
      <c r="O41" s="300"/>
      <c r="P41" s="300"/>
      <c r="Q41" s="300"/>
      <c r="R41" s="300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</row>
    <row r="42" spans="5:30" x14ac:dyDescent="0.3">
      <c r="E42" s="209"/>
      <c r="F42" s="209"/>
      <c r="H42" s="209"/>
      <c r="I42" s="209"/>
      <c r="L42" s="300"/>
      <c r="M42" s="300"/>
      <c r="N42" s="300"/>
      <c r="O42" s="300"/>
      <c r="P42" s="300"/>
      <c r="Q42" s="300"/>
      <c r="R42" s="300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</row>
    <row r="43" spans="5:30" x14ac:dyDescent="0.3">
      <c r="E43" s="209"/>
      <c r="F43" s="209"/>
      <c r="H43" s="209"/>
      <c r="I43" s="209"/>
      <c r="L43" s="300"/>
      <c r="M43" s="300"/>
      <c r="N43" s="300"/>
      <c r="O43" s="300"/>
      <c r="P43" s="300"/>
      <c r="Q43" s="300"/>
      <c r="R43" s="300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</row>
    <row r="44" spans="5:30" x14ac:dyDescent="0.3">
      <c r="E44" s="209"/>
      <c r="F44" s="209"/>
      <c r="H44" s="209"/>
      <c r="I44" s="209"/>
      <c r="L44" s="300"/>
      <c r="M44" s="300"/>
      <c r="N44" s="424"/>
      <c r="O44" s="424"/>
      <c r="P44" s="300"/>
      <c r="Q44" s="300"/>
      <c r="R44" s="300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</row>
    <row r="45" spans="5:30" x14ac:dyDescent="0.3">
      <c r="E45" s="209"/>
      <c r="F45" s="209"/>
      <c r="H45" s="209"/>
      <c r="I45" s="209"/>
      <c r="L45" s="300"/>
      <c r="M45" s="300"/>
      <c r="N45" s="424"/>
      <c r="O45" s="424"/>
      <c r="P45" s="300"/>
      <c r="Q45" s="300"/>
      <c r="R45" s="300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</row>
    <row r="46" spans="5:30" x14ac:dyDescent="0.3">
      <c r="E46" s="209"/>
      <c r="F46" s="209"/>
      <c r="H46" s="209"/>
      <c r="I46" s="209"/>
      <c r="N46" s="251"/>
      <c r="O46" s="251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</row>
    <row r="47" spans="5:30" x14ac:dyDescent="0.3">
      <c r="E47" s="209"/>
      <c r="F47" s="209"/>
      <c r="H47" s="209"/>
      <c r="I47" s="209"/>
      <c r="N47" s="251"/>
      <c r="O47" s="251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</row>
    <row r="48" spans="5:30" x14ac:dyDescent="0.3">
      <c r="E48" s="209"/>
      <c r="F48" s="209"/>
      <c r="H48" s="209"/>
      <c r="I48" s="209"/>
      <c r="N48" s="251"/>
      <c r="O48" s="251"/>
      <c r="R48" s="250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</row>
    <row r="49" spans="12:30" x14ac:dyDescent="0.3">
      <c r="N49" s="251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</row>
    <row r="50" spans="12:30" x14ac:dyDescent="0.3">
      <c r="N50" s="251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</row>
    <row r="51" spans="12:30" x14ac:dyDescent="0.3">
      <c r="N51" s="251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</row>
    <row r="52" spans="12:30" x14ac:dyDescent="0.3">
      <c r="N52" s="251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</row>
    <row r="53" spans="12:30" x14ac:dyDescent="0.3">
      <c r="N53" s="251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</row>
    <row r="54" spans="12:30" x14ac:dyDescent="0.3">
      <c r="N54" s="251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</row>
    <row r="55" spans="12:30" x14ac:dyDescent="0.3">
      <c r="N55" s="251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</row>
    <row r="56" spans="12:30" x14ac:dyDescent="0.3">
      <c r="N56" s="251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</row>
    <row r="57" spans="12:30" x14ac:dyDescent="0.3">
      <c r="N57" s="251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</row>
    <row r="58" spans="12:30" x14ac:dyDescent="0.3">
      <c r="N58" s="251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</row>
    <row r="59" spans="12:30" x14ac:dyDescent="0.3">
      <c r="N59" s="251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</row>
    <row r="60" spans="12:30" x14ac:dyDescent="0.3">
      <c r="N60" s="251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</row>
    <row r="61" spans="12:30" x14ac:dyDescent="0.3">
      <c r="N61" s="251"/>
    </row>
    <row r="62" spans="12:30" x14ac:dyDescent="0.3">
      <c r="N62" s="251"/>
    </row>
    <row r="63" spans="12:30" x14ac:dyDescent="0.3">
      <c r="N63" s="251"/>
    </row>
    <row r="64" spans="12:30" x14ac:dyDescent="0.3">
      <c r="L64" s="251"/>
      <c r="M64" s="251"/>
      <c r="N64" s="251"/>
    </row>
    <row r="65" spans="12:14" x14ac:dyDescent="0.3">
      <c r="L65" s="251"/>
      <c r="M65" s="251"/>
      <c r="N65" s="251"/>
    </row>
  </sheetData>
  <sortState xmlns:xlrd2="http://schemas.microsoft.com/office/spreadsheetml/2017/richdata2" ref="L44:M62">
    <sortCondition descending="1" ref="M44:M62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70" zoomScaleNormal="70" workbookViewId="0">
      <selection activeCell="D6" sqref="D6"/>
    </sheetView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54" customWidth="1"/>
    <col min="11" max="11" width="24.88671875" style="254" customWidth="1"/>
    <col min="12" max="12" width="16.6640625" style="254" bestFit="1" customWidth="1"/>
    <col min="13" max="13" width="11.88671875" style="254" bestFit="1" customWidth="1"/>
    <col min="14" max="14" width="11.5546875" style="254"/>
    <col min="15" max="20" width="11.5546875" style="252"/>
    <col min="21" max="16384" width="11.5546875" style="1"/>
  </cols>
  <sheetData>
    <row r="1" spans="1:20" ht="75" customHeight="1" x14ac:dyDescent="0.25">
      <c r="B1" s="449" t="s">
        <v>530</v>
      </c>
      <c r="C1" s="450"/>
      <c r="D1" s="450"/>
      <c r="E1" s="450"/>
      <c r="F1" s="451"/>
      <c r="G1" s="116"/>
      <c r="I1" s="127"/>
    </row>
    <row r="2" spans="1:20" ht="15.75" customHeight="1" x14ac:dyDescent="0.25">
      <c r="A2" s="118"/>
      <c r="B2" s="117"/>
      <c r="G2" s="1"/>
      <c r="H2" s="1"/>
      <c r="I2" s="118"/>
    </row>
    <row r="3" spans="1:20" ht="9.75" customHeight="1" x14ac:dyDescent="0.3">
      <c r="B3" s="122"/>
      <c r="C3" s="119"/>
      <c r="D3" s="120"/>
      <c r="E3" s="121"/>
      <c r="F3" s="121"/>
      <c r="I3" s="127"/>
    </row>
    <row r="4" spans="1:20" s="58" customFormat="1" ht="35.25" customHeight="1" x14ac:dyDescent="0.9">
      <c r="B4" s="123"/>
      <c r="C4" s="147"/>
      <c r="D4" s="146" t="s">
        <v>10</v>
      </c>
      <c r="E4" s="145" t="s">
        <v>67</v>
      </c>
      <c r="F4" s="145" t="s">
        <v>68</v>
      </c>
      <c r="G4" s="144" t="s">
        <v>69</v>
      </c>
      <c r="H4" s="57"/>
      <c r="I4" s="128"/>
      <c r="J4" s="255"/>
      <c r="K4" s="255"/>
      <c r="L4" s="255"/>
      <c r="M4" s="255"/>
      <c r="N4" s="255"/>
      <c r="O4" s="253"/>
      <c r="P4" s="253"/>
      <c r="Q4" s="253"/>
      <c r="R4" s="253"/>
      <c r="S4" s="253"/>
      <c r="T4" s="253"/>
    </row>
    <row r="5" spans="1:20" s="58" customFormat="1" ht="17.399999999999999" customHeight="1" x14ac:dyDescent="0.9">
      <c r="B5" s="123"/>
      <c r="C5" s="134" t="s">
        <v>70</v>
      </c>
      <c r="D5" s="161">
        <f>194567.24+'Total Mensual'!C14</f>
        <v>556777.14</v>
      </c>
      <c r="E5" s="161">
        <f>1791608.03+'Total Mensual'!D14</f>
        <v>3095216.7899999991</v>
      </c>
      <c r="F5" s="161">
        <f>SUM(D5:E5)</f>
        <v>3651993.9299999992</v>
      </c>
      <c r="G5" s="135">
        <f>D5/F5</f>
        <v>0.15245839688457535</v>
      </c>
      <c r="H5" s="129"/>
      <c r="I5" s="130"/>
      <c r="J5" s="255"/>
      <c r="K5" s="255"/>
      <c r="L5" s="255"/>
      <c r="M5" s="255"/>
      <c r="N5" s="255"/>
      <c r="O5" s="253"/>
      <c r="P5" s="253"/>
      <c r="Q5" s="253"/>
      <c r="R5" s="253"/>
      <c r="S5" s="253"/>
      <c r="T5" s="253"/>
    </row>
    <row r="6" spans="1:20" s="58" customFormat="1" ht="17.399999999999999" customHeight="1" x14ac:dyDescent="0.9">
      <c r="B6" s="123"/>
      <c r="C6" s="134" t="s">
        <v>12</v>
      </c>
      <c r="D6" s="161">
        <f>739964447.43+'Total Mensual'!C15</f>
        <v>1289119883.6899998</v>
      </c>
      <c r="E6" s="161">
        <f>737202151.35+'Total Mensual'!D15</f>
        <v>1416432334.0300002</v>
      </c>
      <c r="F6" s="161">
        <f>SUM(D6:E6)</f>
        <v>2705552217.7200003</v>
      </c>
      <c r="G6" s="135">
        <f t="shared" ref="G6:G7" si="0">D6/F6</f>
        <v>0.47647200273826384</v>
      </c>
      <c r="H6" s="129"/>
      <c r="I6" s="130"/>
      <c r="J6" s="255"/>
      <c r="K6" s="256"/>
      <c r="L6" s="256"/>
      <c r="M6" s="255"/>
      <c r="N6" s="255"/>
      <c r="O6" s="253"/>
      <c r="P6" s="253"/>
      <c r="Q6" s="253"/>
      <c r="R6" s="253"/>
      <c r="S6" s="253"/>
      <c r="T6" s="253"/>
    </row>
    <row r="7" spans="1:20" s="58" customFormat="1" ht="17.399999999999999" customHeight="1" x14ac:dyDescent="0.9">
      <c r="B7" s="123"/>
      <c r="C7" s="134" t="s">
        <v>13</v>
      </c>
      <c r="D7" s="161">
        <f>SUM(D5:D6)</f>
        <v>1289676660.8299999</v>
      </c>
      <c r="E7" s="161">
        <f>SUM(E5:E6)</f>
        <v>1419527550.8200002</v>
      </c>
      <c r="F7" s="161">
        <f>SUM(F5:F6)</f>
        <v>2709204211.6500001</v>
      </c>
      <c r="G7" s="135">
        <f t="shared" si="0"/>
        <v>0.47603523399387515</v>
      </c>
      <c r="H7" s="57"/>
      <c r="I7" s="130"/>
      <c r="J7" s="255"/>
      <c r="K7" s="256"/>
      <c r="L7" s="257" t="s">
        <v>71</v>
      </c>
      <c r="M7" s="255"/>
      <c r="N7" s="255"/>
      <c r="O7" s="253"/>
      <c r="P7" s="253"/>
      <c r="Q7" s="253"/>
      <c r="R7" s="253"/>
      <c r="S7" s="253"/>
      <c r="T7" s="253"/>
    </row>
    <row r="8" spans="1:20" ht="13.5" customHeight="1" x14ac:dyDescent="0.55000000000000004">
      <c r="B8" s="124"/>
      <c r="C8" s="125"/>
      <c r="D8" s="125"/>
      <c r="E8" s="126"/>
      <c r="F8" s="126"/>
      <c r="G8" s="133"/>
      <c r="H8" s="131"/>
      <c r="I8" s="132"/>
      <c r="K8" s="258" t="s">
        <v>72</v>
      </c>
      <c r="L8" s="259">
        <f>+D5</f>
        <v>556777.14</v>
      </c>
      <c r="M8" s="260">
        <f>+L8/L10</f>
        <v>0.15245839688457535</v>
      </c>
    </row>
    <row r="9" spans="1:20" ht="8.25" customHeight="1" x14ac:dyDescent="0.25">
      <c r="B9" s="136"/>
      <c r="D9" s="2"/>
      <c r="I9" s="137"/>
      <c r="K9" s="261" t="s">
        <v>73</v>
      </c>
      <c r="L9" s="262">
        <f>+E5</f>
        <v>3095216.7899999991</v>
      </c>
      <c r="M9" s="263">
        <f>+L9/L10</f>
        <v>0.84754160311542459</v>
      </c>
    </row>
    <row r="10" spans="1:20" x14ac:dyDescent="0.25">
      <c r="B10" s="117"/>
      <c r="I10" s="127"/>
      <c r="K10" s="264"/>
      <c r="L10" s="265">
        <f>+F5</f>
        <v>3651993.9299999992</v>
      </c>
      <c r="M10" s="263">
        <v>0.99999999999999989</v>
      </c>
    </row>
    <row r="11" spans="1:20" ht="12" customHeight="1" x14ac:dyDescent="0.25">
      <c r="B11" s="117"/>
      <c r="I11" s="127"/>
      <c r="K11" s="264"/>
      <c r="L11" s="264"/>
      <c r="M11" s="266"/>
    </row>
    <row r="12" spans="1:20" ht="12" customHeight="1" x14ac:dyDescent="0.25">
      <c r="B12" s="117"/>
      <c r="I12" s="127"/>
      <c r="K12" s="264"/>
      <c r="L12" s="267" t="s">
        <v>74</v>
      </c>
    </row>
    <row r="13" spans="1:20" ht="12" customHeight="1" x14ac:dyDescent="0.25">
      <c r="B13" s="117"/>
      <c r="I13" s="127"/>
      <c r="K13" s="261" t="s">
        <v>72</v>
      </c>
      <c r="L13" s="268">
        <f>+D6</f>
        <v>1289119883.6899998</v>
      </c>
      <c r="M13" s="263">
        <f>+L13/L15</f>
        <v>0.47647200273826384</v>
      </c>
    </row>
    <row r="14" spans="1:20" ht="12" customHeight="1" x14ac:dyDescent="0.25">
      <c r="B14" s="117"/>
      <c r="I14" s="127"/>
      <c r="K14" s="261" t="s">
        <v>73</v>
      </c>
      <c r="L14" s="268">
        <f>+E6</f>
        <v>1416432334.0300002</v>
      </c>
      <c r="M14" s="263">
        <f>+L14/L15</f>
        <v>0.52352799726173604</v>
      </c>
    </row>
    <row r="15" spans="1:20" ht="12" customHeight="1" x14ac:dyDescent="0.25">
      <c r="B15" s="117"/>
      <c r="I15" s="127"/>
      <c r="K15" s="264"/>
      <c r="L15" s="269">
        <f>+F6</f>
        <v>2705552217.7200003</v>
      </c>
      <c r="M15" s="263">
        <v>1</v>
      </c>
    </row>
    <row r="16" spans="1:20" ht="12" customHeight="1" x14ac:dyDescent="0.25">
      <c r="B16" s="117"/>
      <c r="I16" s="127"/>
      <c r="J16" s="270"/>
      <c r="K16" s="264"/>
      <c r="L16" s="264"/>
    </row>
    <row r="17" spans="2:20" ht="12" customHeight="1" x14ac:dyDescent="0.25">
      <c r="B17" s="117"/>
      <c r="I17" s="127"/>
      <c r="K17" s="264"/>
      <c r="L17" s="267" t="s">
        <v>13</v>
      </c>
    </row>
    <row r="18" spans="2:20" ht="12" customHeight="1" x14ac:dyDescent="0.25">
      <c r="B18" s="117"/>
      <c r="I18" s="127"/>
      <c r="K18" s="261" t="s">
        <v>72</v>
      </c>
      <c r="L18" s="265">
        <f>+D7</f>
        <v>1289676660.8299999</v>
      </c>
      <c r="M18" s="263">
        <f>+L18/L20</f>
        <v>0.47603523399387515</v>
      </c>
    </row>
    <row r="19" spans="2:20" ht="12" customHeight="1" x14ac:dyDescent="0.25">
      <c r="B19" s="117"/>
      <c r="I19" s="127"/>
      <c r="K19" s="261" t="s">
        <v>73</v>
      </c>
      <c r="L19" s="265">
        <f>+E7</f>
        <v>1419527550.8200002</v>
      </c>
      <c r="M19" s="263">
        <f>+L19/L20</f>
        <v>0.52396476600612485</v>
      </c>
    </row>
    <row r="20" spans="2:20" ht="12" customHeight="1" x14ac:dyDescent="0.25">
      <c r="B20" s="117"/>
      <c r="I20" s="127"/>
      <c r="K20" s="264"/>
      <c r="L20" s="265">
        <f>+F7</f>
        <v>2709204211.6500001</v>
      </c>
      <c r="M20" s="263">
        <v>1</v>
      </c>
    </row>
    <row r="21" spans="2:20" ht="12" customHeight="1" x14ac:dyDescent="0.25">
      <c r="B21" s="117"/>
      <c r="I21" s="127"/>
      <c r="K21" s="264"/>
      <c r="L21" s="264"/>
    </row>
    <row r="22" spans="2:20" ht="12" customHeight="1" x14ac:dyDescent="0.25">
      <c r="B22" s="117"/>
      <c r="I22" s="127"/>
      <c r="K22" s="264"/>
      <c r="L22" s="264"/>
    </row>
    <row r="23" spans="2:20" ht="12" customHeight="1" x14ac:dyDescent="0.25">
      <c r="B23" s="117"/>
      <c r="I23" s="127"/>
      <c r="K23" s="264"/>
      <c r="L23" s="264"/>
    </row>
    <row r="24" spans="2:20" ht="34.5" customHeight="1" x14ac:dyDescent="0.25">
      <c r="B24" s="117"/>
      <c r="I24" s="127"/>
      <c r="K24" s="264"/>
      <c r="L24" s="264"/>
    </row>
    <row r="25" spans="2:20" ht="12" customHeight="1" x14ac:dyDescent="0.25">
      <c r="B25" s="117"/>
      <c r="I25" s="127"/>
      <c r="K25" s="264"/>
      <c r="L25" s="264"/>
    </row>
    <row r="26" spans="2:20" ht="12" customHeight="1" x14ac:dyDescent="0.25">
      <c r="B26" s="117"/>
      <c r="I26" s="127"/>
      <c r="K26" s="264"/>
      <c r="L26" s="264"/>
    </row>
    <row r="27" spans="2:20" ht="9.75" customHeight="1" x14ac:dyDescent="0.25">
      <c r="B27" s="117"/>
      <c r="I27" s="127"/>
      <c r="K27" s="264"/>
      <c r="L27" s="264"/>
    </row>
    <row r="28" spans="2:20" ht="16.5" customHeight="1" x14ac:dyDescent="0.25">
      <c r="B28" s="138"/>
      <c r="C28" s="139"/>
      <c r="D28" s="139"/>
      <c r="E28" s="139"/>
      <c r="F28" s="139"/>
      <c r="G28" s="131"/>
      <c r="H28" s="131"/>
      <c r="I28" s="132"/>
      <c r="K28" s="264"/>
      <c r="L28" s="264"/>
    </row>
    <row r="29" spans="2:20" ht="16.5" customHeight="1" x14ac:dyDescent="0.25">
      <c r="B29" s="136"/>
      <c r="I29" s="137"/>
      <c r="K29" s="264"/>
      <c r="L29" s="264"/>
    </row>
    <row r="30" spans="2:20" ht="21.75" customHeight="1" x14ac:dyDescent="0.25">
      <c r="B30" s="117"/>
      <c r="C30" s="448" t="s">
        <v>75</v>
      </c>
      <c r="D30" s="448"/>
      <c r="E30" s="448"/>
      <c r="F30" s="448"/>
      <c r="G30" s="448"/>
      <c r="I30" s="127"/>
      <c r="K30" s="264"/>
      <c r="L30" s="264"/>
    </row>
    <row r="31" spans="2:20" s="3" customFormat="1" ht="19.2" customHeight="1" x14ac:dyDescent="0.45">
      <c r="B31" s="140"/>
      <c r="C31" s="148"/>
      <c r="D31" s="149"/>
      <c r="E31" s="159"/>
      <c r="F31" s="149"/>
      <c r="G31" s="149"/>
      <c r="H31" s="42"/>
      <c r="I31" s="141"/>
      <c r="J31" s="254"/>
      <c r="K31" s="264"/>
      <c r="L31" s="264"/>
      <c r="M31" s="254"/>
      <c r="N31" s="254"/>
      <c r="O31" s="252"/>
      <c r="P31" s="252"/>
      <c r="Q31" s="252"/>
      <c r="R31" s="252"/>
      <c r="S31" s="252"/>
      <c r="T31" s="252"/>
    </row>
    <row r="32" spans="2:20" ht="36" customHeight="1" x14ac:dyDescent="0.35">
      <c r="B32" s="117"/>
      <c r="C32" s="150"/>
      <c r="D32" s="158" t="s">
        <v>10</v>
      </c>
      <c r="E32" s="156" t="s">
        <v>67</v>
      </c>
      <c r="F32" s="156" t="s">
        <v>76</v>
      </c>
      <c r="G32" s="157" t="s">
        <v>77</v>
      </c>
      <c r="I32" s="127"/>
      <c r="K32" s="264" t="s">
        <v>71</v>
      </c>
      <c r="L32" s="264"/>
    </row>
    <row r="33" spans="2:20" s="3" customFormat="1" ht="19.2" customHeight="1" x14ac:dyDescent="0.25">
      <c r="B33" s="140"/>
      <c r="C33" s="154" t="s">
        <v>70</v>
      </c>
      <c r="D33" s="160">
        <f>194567.24+'Total Mensual'!C42</f>
        <v>556777.14</v>
      </c>
      <c r="E33" s="160">
        <f>1791608.03+'Total Mensual'!D42</f>
        <v>3095216.7899999991</v>
      </c>
      <c r="F33" s="160">
        <f>SUM(D33:E33)</f>
        <v>3651993.9299999992</v>
      </c>
      <c r="G33" s="155">
        <f>D33/F33</f>
        <v>0.15245839688457535</v>
      </c>
      <c r="H33" s="43"/>
      <c r="I33" s="141"/>
      <c r="J33" s="254"/>
      <c r="K33" s="261" t="s">
        <v>72</v>
      </c>
      <c r="L33" s="265">
        <f>+D33</f>
        <v>556777.14</v>
      </c>
      <c r="M33" s="263">
        <f>+L33/L35</f>
        <v>0.15245839688457535</v>
      </c>
      <c r="N33" s="254"/>
      <c r="O33" s="252"/>
      <c r="P33" s="252"/>
      <c r="Q33" s="252"/>
      <c r="R33" s="252"/>
      <c r="S33" s="252"/>
      <c r="T33" s="252"/>
    </row>
    <row r="34" spans="2:20" s="3" customFormat="1" ht="19.2" customHeight="1" x14ac:dyDescent="0.25">
      <c r="B34" s="140"/>
      <c r="C34" s="154" t="s">
        <v>12</v>
      </c>
      <c r="D34" s="160">
        <f>228292357.69+'Total Mensual'!C43</f>
        <v>409973571.37736988</v>
      </c>
      <c r="E34" s="160">
        <f>262415718.46+'Total Mensual'!D43</f>
        <v>539647656.60059249</v>
      </c>
      <c r="F34" s="160">
        <f>SUM(D34:E34)</f>
        <v>949621227.97796237</v>
      </c>
      <c r="G34" s="155">
        <f t="shared" ref="G34:G35" si="1">D34/F34</f>
        <v>0.43172325902015751</v>
      </c>
      <c r="H34" s="43"/>
      <c r="I34" s="141"/>
      <c r="J34" s="254"/>
      <c r="K34" s="261" t="s">
        <v>73</v>
      </c>
      <c r="L34" s="265">
        <f>+E33</f>
        <v>3095216.7899999991</v>
      </c>
      <c r="M34" s="263">
        <f>+L34/L35</f>
        <v>0.84754160311542459</v>
      </c>
      <c r="N34" s="254"/>
      <c r="O34" s="252"/>
      <c r="P34" s="252"/>
      <c r="Q34" s="252"/>
      <c r="R34" s="252"/>
      <c r="S34" s="252"/>
      <c r="T34" s="252"/>
    </row>
    <row r="35" spans="2:20" s="3" customFormat="1" ht="19.2" customHeight="1" x14ac:dyDescent="0.25">
      <c r="B35" s="140"/>
      <c r="C35" s="154" t="s">
        <v>13</v>
      </c>
      <c r="D35" s="160">
        <f>SUM(D33:D34)</f>
        <v>410530348.51736987</v>
      </c>
      <c r="E35" s="160">
        <f>SUM(E33:E34)</f>
        <v>542742873.39059246</v>
      </c>
      <c r="F35" s="160">
        <f>SUM(F33:F34)</f>
        <v>953273221.90796232</v>
      </c>
      <c r="G35" s="155">
        <f t="shared" si="1"/>
        <v>0.43065339409796849</v>
      </c>
      <c r="H35" s="42"/>
      <c r="I35" s="141"/>
      <c r="J35" s="254"/>
      <c r="K35" s="264"/>
      <c r="L35" s="265">
        <f>SUM(L33:L34)</f>
        <v>3651993.9299999992</v>
      </c>
      <c r="M35" s="263">
        <v>1</v>
      </c>
      <c r="N35" s="254"/>
      <c r="O35" s="252"/>
      <c r="P35" s="252"/>
      <c r="Q35" s="252"/>
      <c r="R35" s="252"/>
      <c r="S35" s="252"/>
      <c r="T35" s="252"/>
    </row>
    <row r="36" spans="2:20" ht="19.2" customHeight="1" x14ac:dyDescent="0.25">
      <c r="B36" s="117"/>
      <c r="I36" s="127"/>
      <c r="K36" s="264"/>
      <c r="L36" s="264"/>
      <c r="M36" s="266"/>
    </row>
    <row r="37" spans="2:20" ht="9.75" customHeight="1" x14ac:dyDescent="0.4">
      <c r="B37" s="117"/>
      <c r="C37" s="151"/>
      <c r="D37" s="152"/>
      <c r="E37" s="152"/>
      <c r="F37" s="153"/>
      <c r="G37" s="153"/>
      <c r="I37" s="127"/>
      <c r="K37" s="264"/>
      <c r="L37" s="264"/>
    </row>
    <row r="38" spans="2:20" ht="12.75" customHeight="1" x14ac:dyDescent="0.25">
      <c r="B38" s="138"/>
      <c r="C38" s="139"/>
      <c r="D38" s="139"/>
      <c r="E38" s="139"/>
      <c r="F38" s="139"/>
      <c r="G38" s="133"/>
      <c r="H38" s="131"/>
      <c r="I38" s="132"/>
      <c r="K38" s="264" t="s">
        <v>74</v>
      </c>
      <c r="L38" s="264"/>
    </row>
    <row r="39" spans="2:20" x14ac:dyDescent="0.25">
      <c r="B39" s="136"/>
      <c r="H39" s="142"/>
      <c r="I39" s="137"/>
      <c r="K39" s="261" t="s">
        <v>72</v>
      </c>
      <c r="L39" s="265">
        <f>+D34</f>
        <v>409973571.37736988</v>
      </c>
      <c r="M39" s="263">
        <f>+L39/L41</f>
        <v>0.43172325902015751</v>
      </c>
    </row>
    <row r="40" spans="2:20" ht="12" customHeight="1" x14ac:dyDescent="0.25">
      <c r="B40" s="117"/>
      <c r="I40" s="127"/>
      <c r="K40" s="261" t="s">
        <v>73</v>
      </c>
      <c r="L40" s="265">
        <f>+E34</f>
        <v>539647656.60059249</v>
      </c>
      <c r="M40" s="263">
        <f>+L40/L41</f>
        <v>0.56827674097984249</v>
      </c>
    </row>
    <row r="41" spans="2:20" ht="12" customHeight="1" x14ac:dyDescent="0.25">
      <c r="B41" s="117"/>
      <c r="I41" s="127"/>
      <c r="K41" s="264"/>
      <c r="L41" s="265">
        <f>SUM(L39:L40)</f>
        <v>949621227.97796237</v>
      </c>
      <c r="M41" s="263">
        <v>1</v>
      </c>
    </row>
    <row r="42" spans="2:20" ht="12" customHeight="1" x14ac:dyDescent="0.25">
      <c r="B42" s="117"/>
      <c r="I42" s="127"/>
      <c r="K42" s="264"/>
      <c r="L42" s="264"/>
    </row>
    <row r="43" spans="2:20" ht="12" customHeight="1" x14ac:dyDescent="0.25">
      <c r="B43" s="117"/>
      <c r="I43" s="127"/>
      <c r="K43" s="264" t="s">
        <v>13</v>
      </c>
      <c r="L43" s="264"/>
    </row>
    <row r="44" spans="2:20" ht="12" customHeight="1" x14ac:dyDescent="0.25">
      <c r="B44" s="117"/>
      <c r="I44" s="127"/>
      <c r="K44" s="261" t="s">
        <v>72</v>
      </c>
      <c r="L44" s="265">
        <f>+D35</f>
        <v>410530348.51736987</v>
      </c>
      <c r="M44" s="263">
        <f>+L44/L46</f>
        <v>0.43065339409796849</v>
      </c>
    </row>
    <row r="45" spans="2:20" ht="12" customHeight="1" x14ac:dyDescent="0.25">
      <c r="B45" s="117"/>
      <c r="I45" s="127"/>
      <c r="J45" s="270"/>
      <c r="K45" s="261" t="s">
        <v>73</v>
      </c>
      <c r="L45" s="265">
        <f>+E35</f>
        <v>542742873.39059246</v>
      </c>
      <c r="M45" s="263">
        <f>+L45/L46</f>
        <v>0.56934660590203157</v>
      </c>
    </row>
    <row r="46" spans="2:20" ht="12" customHeight="1" x14ac:dyDescent="0.25">
      <c r="B46" s="117"/>
      <c r="I46" s="127"/>
      <c r="K46" s="264"/>
      <c r="L46" s="265">
        <f>SUM(L44:L45)</f>
        <v>953273221.90796232</v>
      </c>
      <c r="M46" s="263">
        <v>1</v>
      </c>
    </row>
    <row r="47" spans="2:20" ht="12" customHeight="1" x14ac:dyDescent="0.25">
      <c r="B47" s="117"/>
      <c r="I47" s="127"/>
      <c r="K47" s="264"/>
      <c r="L47" s="264"/>
    </row>
    <row r="48" spans="2:20" ht="12" customHeight="1" x14ac:dyDescent="0.25">
      <c r="B48" s="117"/>
      <c r="I48" s="127"/>
      <c r="K48" s="264"/>
      <c r="L48" s="264"/>
    </row>
    <row r="49" spans="2:20" ht="12" customHeight="1" x14ac:dyDescent="0.25">
      <c r="B49" s="117"/>
      <c r="I49" s="127"/>
      <c r="K49" s="264"/>
      <c r="L49" s="264"/>
    </row>
    <row r="50" spans="2:20" ht="12" customHeight="1" x14ac:dyDescent="0.25">
      <c r="B50" s="117"/>
      <c r="I50" s="127"/>
    </row>
    <row r="51" spans="2:20" ht="12" customHeight="1" x14ac:dyDescent="0.25">
      <c r="B51" s="117"/>
      <c r="I51" s="127"/>
    </row>
    <row r="52" spans="2:20" ht="12" customHeight="1" x14ac:dyDescent="0.25">
      <c r="B52" s="117"/>
      <c r="I52" s="127"/>
    </row>
    <row r="53" spans="2:20" ht="12" customHeight="1" x14ac:dyDescent="0.25">
      <c r="B53" s="117"/>
      <c r="I53" s="127"/>
    </row>
    <row r="54" spans="2:20" ht="12" customHeight="1" x14ac:dyDescent="0.25">
      <c r="B54" s="117"/>
      <c r="I54" s="127"/>
    </row>
    <row r="55" spans="2:20" ht="9.75" customHeight="1" x14ac:dyDescent="0.25">
      <c r="B55" s="117"/>
      <c r="I55" s="127"/>
    </row>
    <row r="56" spans="2:20" ht="9.75" customHeight="1" x14ac:dyDescent="0.25">
      <c r="B56" s="117"/>
      <c r="I56" s="127"/>
    </row>
    <row r="57" spans="2:20" ht="9.75" customHeight="1" x14ac:dyDescent="0.25">
      <c r="B57" s="117"/>
      <c r="I57" s="127"/>
    </row>
    <row r="58" spans="2:20" ht="9.75" customHeight="1" x14ac:dyDescent="0.25">
      <c r="B58" s="117"/>
      <c r="I58" s="127"/>
    </row>
    <row r="59" spans="2:20" s="3" customFormat="1" ht="13.8" x14ac:dyDescent="0.25">
      <c r="B59" s="140"/>
      <c r="G59" s="42"/>
      <c r="H59" s="42"/>
      <c r="I59" s="143"/>
      <c r="J59" s="254"/>
      <c r="K59" s="254"/>
      <c r="L59" s="254"/>
      <c r="M59" s="254"/>
      <c r="N59" s="254"/>
      <c r="O59" s="252"/>
      <c r="P59" s="252"/>
      <c r="Q59" s="252"/>
      <c r="R59" s="252"/>
      <c r="S59" s="252"/>
      <c r="T59" s="252"/>
    </row>
    <row r="60" spans="2:20" x14ac:dyDescent="0.25">
      <c r="B60" s="117"/>
      <c r="I60" s="127"/>
    </row>
    <row r="61" spans="2:20" x14ac:dyDescent="0.25">
      <c r="B61" s="117"/>
      <c r="I61" s="127"/>
    </row>
    <row r="62" spans="2:20" x14ac:dyDescent="0.25">
      <c r="B62" s="117"/>
      <c r="I62" s="127"/>
    </row>
    <row r="63" spans="2:20" x14ac:dyDescent="0.25">
      <c r="B63" s="117"/>
      <c r="I63" s="127"/>
    </row>
    <row r="64" spans="2:20" x14ac:dyDescent="0.25">
      <c r="B64" s="117"/>
      <c r="I64" s="127"/>
    </row>
    <row r="65" spans="2:20" s="59" customFormat="1" ht="20.399999999999999" x14ac:dyDescent="0.7">
      <c r="B65" s="445" t="s">
        <v>78</v>
      </c>
      <c r="C65" s="446"/>
      <c r="D65" s="446"/>
      <c r="E65" s="446"/>
      <c r="F65" s="446"/>
      <c r="G65" s="446"/>
      <c r="H65" s="446"/>
      <c r="I65" s="447"/>
      <c r="J65" s="255"/>
      <c r="K65" s="255"/>
      <c r="L65" s="255"/>
      <c r="M65" s="255"/>
      <c r="N65" s="255"/>
      <c r="O65" s="253"/>
      <c r="P65" s="253"/>
      <c r="Q65" s="253"/>
      <c r="R65" s="253"/>
      <c r="S65" s="253"/>
      <c r="T65" s="253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24A2-6A32-4C87-AFDE-2AFA2A71874D}">
  <sheetPr>
    <pageSetUpPr fitToPage="1"/>
  </sheetPr>
  <dimension ref="B1:Q61"/>
  <sheetViews>
    <sheetView showGridLines="0" zoomScale="53" zoomScaleNormal="53" workbookViewId="0"/>
  </sheetViews>
  <sheetFormatPr baseColWidth="10" defaultColWidth="11.44140625" defaultRowHeight="13.2" x14ac:dyDescent="0.3"/>
  <cols>
    <col min="1" max="1" width="2.88671875" style="44" customWidth="1"/>
    <col min="2" max="2" width="5.109375" style="44" customWidth="1"/>
    <col min="3" max="3" width="79.33203125" style="44" customWidth="1"/>
    <col min="4" max="4" width="30.109375" style="44" bestFit="1" customWidth="1"/>
    <col min="5" max="5" width="15.6640625" style="44" bestFit="1" customWidth="1"/>
    <col min="6" max="6" width="19.88671875" style="44" bestFit="1" customWidth="1"/>
    <col min="7" max="7" width="15.6640625" style="44" bestFit="1" customWidth="1"/>
    <col min="8" max="8" width="30.109375" style="44" bestFit="1" customWidth="1"/>
    <col min="9" max="9" width="15.6640625" style="44" bestFit="1" customWidth="1"/>
    <col min="10" max="10" width="27.109375" style="44" bestFit="1" customWidth="1"/>
    <col min="11" max="11" width="16.21875" style="44" bestFit="1" customWidth="1"/>
    <col min="12" max="12" width="27.6640625" style="44" bestFit="1" customWidth="1"/>
    <col min="13" max="13" width="15.44140625" style="44" bestFit="1" customWidth="1"/>
    <col min="14" max="14" width="20.33203125" style="44" customWidth="1"/>
    <col min="15" max="15" width="22.44140625" style="44" customWidth="1"/>
    <col min="16" max="16" width="4.109375" style="44" customWidth="1"/>
    <col min="17" max="17" width="18.33203125" style="44" bestFit="1" customWidth="1"/>
    <col min="18" max="16384" width="11.44140625" style="44"/>
  </cols>
  <sheetData>
    <row r="1" spans="2:17" ht="81" customHeight="1" x14ac:dyDescent="0.3">
      <c r="B1" s="452" t="s">
        <v>307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163"/>
    </row>
    <row r="2" spans="2:17" x14ac:dyDescent="0.3">
      <c r="C2" s="164"/>
      <c r="I2" s="165"/>
    </row>
    <row r="3" spans="2:17" ht="31.95" customHeight="1" x14ac:dyDescent="0.3">
      <c r="B3" s="454" t="s">
        <v>79</v>
      </c>
      <c r="C3" s="454"/>
      <c r="D3" s="455" t="s">
        <v>80</v>
      </c>
      <c r="E3" s="455" t="s">
        <v>81</v>
      </c>
      <c r="F3" s="455" t="s">
        <v>82</v>
      </c>
      <c r="G3" s="455" t="s">
        <v>81</v>
      </c>
      <c r="H3" s="455" t="s">
        <v>83</v>
      </c>
      <c r="I3" s="455" t="s">
        <v>81</v>
      </c>
      <c r="J3" s="455" t="s">
        <v>84</v>
      </c>
      <c r="K3" s="455" t="s">
        <v>81</v>
      </c>
      <c r="L3" s="455" t="s">
        <v>85</v>
      </c>
      <c r="M3" s="455" t="s">
        <v>81</v>
      </c>
      <c r="N3" s="455" t="s">
        <v>86</v>
      </c>
      <c r="O3" s="455" t="s">
        <v>87</v>
      </c>
    </row>
    <row r="4" spans="2:17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88</v>
      </c>
      <c r="M4" s="455"/>
      <c r="N4" s="455" t="s">
        <v>89</v>
      </c>
      <c r="O4" s="455" t="s">
        <v>90</v>
      </c>
    </row>
    <row r="5" spans="2:17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</row>
    <row r="6" spans="2:17" s="45" customFormat="1" ht="26.4" x14ac:dyDescent="0.3">
      <c r="B6" s="168">
        <v>1</v>
      </c>
      <c r="C6" s="169" t="s">
        <v>91</v>
      </c>
      <c r="D6" s="170">
        <v>7624823.4500000002</v>
      </c>
      <c r="E6" s="171">
        <f>D6/$D$53</f>
        <v>6.9377421301043381E-3</v>
      </c>
      <c r="F6" s="170">
        <v>851</v>
      </c>
      <c r="G6" s="171">
        <f>F6/$F$53</f>
        <v>1.1747332140838781E-3</v>
      </c>
      <c r="H6" s="170">
        <v>4345773.0499999989</v>
      </c>
      <c r="I6" s="171">
        <f>H6/$H$53</f>
        <v>4.2457944063927161E-3</v>
      </c>
      <c r="J6" s="170">
        <v>3278199.4000000004</v>
      </c>
      <c r="K6" s="171">
        <f>J6/$J$53</f>
        <v>0.11302894827602196</v>
      </c>
      <c r="L6" s="170">
        <v>5698542.8899999997</v>
      </c>
      <c r="M6" s="171">
        <f>L6/$L$53</f>
        <v>1.5651603277524538E-2</v>
      </c>
      <c r="N6" s="170">
        <v>30035.03</v>
      </c>
      <c r="O6" s="172">
        <v>44</v>
      </c>
      <c r="Q6" s="420"/>
    </row>
    <row r="7" spans="2:17" s="45" customFormat="1" ht="26.4" x14ac:dyDescent="0.3">
      <c r="B7" s="175">
        <v>2</v>
      </c>
      <c r="C7" s="173" t="s">
        <v>92</v>
      </c>
      <c r="D7" s="170">
        <v>4631.88</v>
      </c>
      <c r="E7" s="171">
        <f t="shared" ref="E7:E34" si="0">D7/$D$53</f>
        <v>4.2144961425418553E-6</v>
      </c>
      <c r="F7" s="174">
        <v>1140</v>
      </c>
      <c r="G7" s="171">
        <f t="shared" ref="G7:G34" si="1">F7/$F$53</f>
        <v>1.5736731657527861E-3</v>
      </c>
      <c r="H7" s="174">
        <v>3491.88</v>
      </c>
      <c r="I7" s="171">
        <f t="shared" ref="I7:I34" si="2">H7/$H$53</f>
        <v>3.4115459784064428E-6</v>
      </c>
      <c r="J7" s="170">
        <v>0</v>
      </c>
      <c r="K7" s="171">
        <f t="shared" ref="K7:K34" si="3">J7/$J$53</f>
        <v>0</v>
      </c>
      <c r="L7" s="174">
        <v>4631.88</v>
      </c>
      <c r="M7" s="171">
        <f t="shared" ref="M7:M34" si="4">L7/$L$53</f>
        <v>1.2721909721223554E-5</v>
      </c>
      <c r="N7" s="174">
        <v>120</v>
      </c>
      <c r="O7" s="176">
        <v>3</v>
      </c>
      <c r="Q7" s="420"/>
    </row>
    <row r="8" spans="2:17" s="45" customFormat="1" ht="26.4" x14ac:dyDescent="0.3">
      <c r="B8" s="175">
        <v>3</v>
      </c>
      <c r="C8" s="173" t="s">
        <v>93</v>
      </c>
      <c r="D8" s="170">
        <v>23206476.350000001</v>
      </c>
      <c r="E8" s="171">
        <f t="shared" si="0"/>
        <v>2.11153149604618E-2</v>
      </c>
      <c r="F8" s="174">
        <v>60575.199999999997</v>
      </c>
      <c r="G8" s="171">
        <f t="shared" si="1"/>
        <v>8.361891820184926E-2</v>
      </c>
      <c r="H8" s="174">
        <v>16575042.580000006</v>
      </c>
      <c r="I8" s="171">
        <f t="shared" si="2"/>
        <v>1.6193717955861761E-2</v>
      </c>
      <c r="J8" s="170">
        <v>6570858.5700000012</v>
      </c>
      <c r="K8" s="171">
        <f t="shared" si="3"/>
        <v>0.22655645457002574</v>
      </c>
      <c r="L8" s="174">
        <v>14131379.369999999</v>
      </c>
      <c r="M8" s="171">
        <f t="shared" si="4"/>
        <v>3.8813210312335589E-2</v>
      </c>
      <c r="N8" s="174">
        <v>88154.4</v>
      </c>
      <c r="O8" s="176">
        <v>253</v>
      </c>
      <c r="Q8" s="420"/>
    </row>
    <row r="9" spans="2:17" s="45" customFormat="1" ht="26.4" x14ac:dyDescent="0.3">
      <c r="B9" s="175">
        <v>4</v>
      </c>
      <c r="C9" s="173" t="s">
        <v>94</v>
      </c>
      <c r="D9" s="170">
        <v>7834954.6900000004</v>
      </c>
      <c r="E9" s="171">
        <f t="shared" si="0"/>
        <v>7.1289382104016549E-3</v>
      </c>
      <c r="F9" s="174">
        <v>148944.48000000001</v>
      </c>
      <c r="G9" s="171">
        <f t="shared" si="1"/>
        <v>0.20560520295000223</v>
      </c>
      <c r="H9" s="174">
        <v>7649347.669999999</v>
      </c>
      <c r="I9" s="171">
        <f t="shared" si="2"/>
        <v>7.4733671492208179E-3</v>
      </c>
      <c r="J9" s="170">
        <v>36662.54</v>
      </c>
      <c r="K9" s="171">
        <f t="shared" si="3"/>
        <v>1.264086723134531E-3</v>
      </c>
      <c r="L9" s="174">
        <v>3298239.05</v>
      </c>
      <c r="M9" s="171">
        <f t="shared" si="4"/>
        <v>9.0589349104713713E-3</v>
      </c>
      <c r="N9" s="174">
        <v>13149.96</v>
      </c>
      <c r="O9" s="176">
        <v>80</v>
      </c>
      <c r="Q9" s="420"/>
    </row>
    <row r="10" spans="2:17" s="45" customFormat="1" ht="26.4" x14ac:dyDescent="0.3">
      <c r="B10" s="175">
        <v>5</v>
      </c>
      <c r="C10" s="173" t="s">
        <v>95</v>
      </c>
      <c r="D10" s="170">
        <v>2800</v>
      </c>
      <c r="E10" s="171">
        <f t="shared" si="0"/>
        <v>2.5476888863954148E-6</v>
      </c>
      <c r="F10" s="174">
        <v>2800</v>
      </c>
      <c r="G10" s="171">
        <f t="shared" si="1"/>
        <v>3.8651621614980711E-3</v>
      </c>
      <c r="H10" s="174">
        <v>0</v>
      </c>
      <c r="I10" s="171">
        <f t="shared" si="2"/>
        <v>0</v>
      </c>
      <c r="J10" s="170">
        <v>0</v>
      </c>
      <c r="K10" s="171">
        <f t="shared" si="3"/>
        <v>0</v>
      </c>
      <c r="L10" s="174">
        <v>2800</v>
      </c>
      <c r="M10" s="171">
        <f t="shared" si="4"/>
        <v>7.6904728143703967E-6</v>
      </c>
      <c r="N10" s="174">
        <v>0</v>
      </c>
      <c r="O10" s="176">
        <v>1</v>
      </c>
      <c r="Q10" s="420"/>
    </row>
    <row r="11" spans="2:17" s="45" customFormat="1" ht="26.4" x14ac:dyDescent="0.3">
      <c r="B11" s="175">
        <v>6</v>
      </c>
      <c r="C11" s="173" t="s">
        <v>96</v>
      </c>
      <c r="D11" s="170">
        <v>62608206.869999997</v>
      </c>
      <c r="E11" s="171">
        <f t="shared" si="0"/>
        <v>5.6966511728515738E-2</v>
      </c>
      <c r="F11" s="174">
        <v>0</v>
      </c>
      <c r="G11" s="171">
        <f t="shared" si="1"/>
        <v>0</v>
      </c>
      <c r="H11" s="174">
        <v>62608206.870000005</v>
      </c>
      <c r="I11" s="171">
        <f t="shared" si="2"/>
        <v>6.1167845505168315E-2</v>
      </c>
      <c r="J11" s="170">
        <v>0</v>
      </c>
      <c r="K11" s="171">
        <f t="shared" si="3"/>
        <v>0</v>
      </c>
      <c r="L11" s="174">
        <v>18012012.620000001</v>
      </c>
      <c r="M11" s="171">
        <f t="shared" si="4"/>
        <v>4.9471747637930892E-2</v>
      </c>
      <c r="N11" s="174">
        <v>15741.11</v>
      </c>
      <c r="O11" s="176">
        <v>58</v>
      </c>
      <c r="Q11" s="420"/>
    </row>
    <row r="12" spans="2:17" s="45" customFormat="1" ht="26.4" x14ac:dyDescent="0.3">
      <c r="B12" s="175">
        <v>7</v>
      </c>
      <c r="C12" s="173" t="s">
        <v>97</v>
      </c>
      <c r="D12" s="170">
        <v>4084945.34</v>
      </c>
      <c r="E12" s="171">
        <f t="shared" si="0"/>
        <v>3.7168463729466928E-3</v>
      </c>
      <c r="F12" s="174">
        <v>2519</v>
      </c>
      <c r="G12" s="171">
        <f t="shared" si="1"/>
        <v>3.477265530290586E-3</v>
      </c>
      <c r="H12" s="174">
        <v>3947817.0299999993</v>
      </c>
      <c r="I12" s="171">
        <f t="shared" si="2"/>
        <v>3.856993743250331E-3</v>
      </c>
      <c r="J12" s="170">
        <v>134609.31</v>
      </c>
      <c r="K12" s="171">
        <f t="shared" si="3"/>
        <v>4.6411907516855149E-3</v>
      </c>
      <c r="L12" s="174">
        <v>2735967.66</v>
      </c>
      <c r="M12" s="171">
        <f t="shared" si="4"/>
        <v>7.5146017536523533E-3</v>
      </c>
      <c r="N12" s="174">
        <v>24954.2</v>
      </c>
      <c r="O12" s="176">
        <v>99</v>
      </c>
      <c r="Q12" s="420"/>
    </row>
    <row r="13" spans="2:17" s="45" customFormat="1" ht="26.4" x14ac:dyDescent="0.3">
      <c r="B13" s="175">
        <v>8</v>
      </c>
      <c r="C13" s="173" t="s">
        <v>98</v>
      </c>
      <c r="D13" s="170">
        <v>5199103.25</v>
      </c>
      <c r="E13" s="171">
        <f t="shared" si="0"/>
        <v>4.7306062747311728E-3</v>
      </c>
      <c r="F13" s="174">
        <v>55898.75</v>
      </c>
      <c r="G13" s="171">
        <f t="shared" si="1"/>
        <v>7.7163476205371534E-2</v>
      </c>
      <c r="H13" s="174">
        <v>5143204.5</v>
      </c>
      <c r="I13" s="171">
        <f t="shared" si="2"/>
        <v>5.0248801872048643E-3</v>
      </c>
      <c r="J13" s="170">
        <v>0</v>
      </c>
      <c r="K13" s="171">
        <f t="shared" si="3"/>
        <v>0</v>
      </c>
      <c r="L13" s="174">
        <v>2418352.81</v>
      </c>
      <c r="M13" s="171">
        <f t="shared" si="4"/>
        <v>6.6422416217361635E-3</v>
      </c>
      <c r="N13" s="174">
        <v>4558.72</v>
      </c>
      <c r="O13" s="176">
        <v>17</v>
      </c>
      <c r="Q13" s="420"/>
    </row>
    <row r="14" spans="2:17" s="45" customFormat="1" ht="26.4" x14ac:dyDescent="0.3">
      <c r="B14" s="175">
        <v>9</v>
      </c>
      <c r="C14" s="173" t="s">
        <v>129</v>
      </c>
      <c r="D14" s="170">
        <v>0</v>
      </c>
      <c r="E14" s="171">
        <f t="shared" si="0"/>
        <v>0</v>
      </c>
      <c r="F14" s="174">
        <v>0</v>
      </c>
      <c r="G14" s="171">
        <f t="shared" si="1"/>
        <v>0</v>
      </c>
      <c r="H14" s="174">
        <v>0</v>
      </c>
      <c r="I14" s="171">
        <f t="shared" si="2"/>
        <v>0</v>
      </c>
      <c r="J14" s="170">
        <v>0</v>
      </c>
      <c r="K14" s="171">
        <f t="shared" si="3"/>
        <v>0</v>
      </c>
      <c r="L14" s="174">
        <v>0</v>
      </c>
      <c r="M14" s="171">
        <f t="shared" si="4"/>
        <v>0</v>
      </c>
      <c r="N14" s="174">
        <v>0</v>
      </c>
      <c r="O14" s="176">
        <v>0</v>
      </c>
      <c r="Q14" s="420"/>
    </row>
    <row r="15" spans="2:17" s="45" customFormat="1" ht="26.4" x14ac:dyDescent="0.3">
      <c r="B15" s="175">
        <v>10</v>
      </c>
      <c r="C15" s="173" t="s">
        <v>99</v>
      </c>
      <c r="D15" s="170">
        <v>1276843.76</v>
      </c>
      <c r="E15" s="171">
        <f t="shared" si="0"/>
        <v>1.1617859489340481E-3</v>
      </c>
      <c r="F15" s="174">
        <v>0</v>
      </c>
      <c r="G15" s="171">
        <f t="shared" si="1"/>
        <v>0</v>
      </c>
      <c r="H15" s="174">
        <v>0</v>
      </c>
      <c r="I15" s="171">
        <f t="shared" si="2"/>
        <v>0</v>
      </c>
      <c r="J15" s="170">
        <v>1276843.76</v>
      </c>
      <c r="K15" s="171">
        <f t="shared" si="3"/>
        <v>4.4024261399596795E-2</v>
      </c>
      <c r="L15" s="174">
        <v>1276843.76</v>
      </c>
      <c r="M15" s="171">
        <f t="shared" si="4"/>
        <v>3.5069757944565997E-3</v>
      </c>
      <c r="N15" s="174">
        <v>156898.56</v>
      </c>
      <c r="O15" s="176">
        <v>1</v>
      </c>
      <c r="Q15" s="420"/>
    </row>
    <row r="16" spans="2:17" s="45" customFormat="1" ht="26.4" x14ac:dyDescent="0.3">
      <c r="B16" s="175">
        <v>11</v>
      </c>
      <c r="C16" s="173" t="s">
        <v>100</v>
      </c>
      <c r="D16" s="170">
        <v>8168937.7000000002</v>
      </c>
      <c r="E16" s="171">
        <f t="shared" si="0"/>
        <v>7.4328256399809013E-3</v>
      </c>
      <c r="F16" s="174">
        <v>219.12</v>
      </c>
      <c r="G16" s="171">
        <f t="shared" si="1"/>
        <v>3.024765474383776E-4</v>
      </c>
      <c r="H16" s="174">
        <v>8049883.0199999977</v>
      </c>
      <c r="I16" s="171">
        <f t="shared" si="2"/>
        <v>7.8646878024225646E-3</v>
      </c>
      <c r="J16" s="170">
        <v>118835.56</v>
      </c>
      <c r="K16" s="171">
        <f t="shared" si="3"/>
        <v>4.0973280528915053E-3</v>
      </c>
      <c r="L16" s="174">
        <v>6975683.2800000003</v>
      </c>
      <c r="M16" s="171">
        <f t="shared" si="4"/>
        <v>1.9159393795177899E-2</v>
      </c>
      <c r="N16" s="174">
        <v>13879.27</v>
      </c>
      <c r="O16" s="176">
        <v>39</v>
      </c>
      <c r="Q16" s="420"/>
    </row>
    <row r="17" spans="2:17" s="45" customFormat="1" ht="26.4" x14ac:dyDescent="0.3">
      <c r="B17" s="175">
        <v>12</v>
      </c>
      <c r="C17" s="173" t="s">
        <v>101</v>
      </c>
      <c r="D17" s="170">
        <v>4140652.17</v>
      </c>
      <c r="E17" s="171">
        <f t="shared" si="0"/>
        <v>3.7675333985493064E-3</v>
      </c>
      <c r="F17" s="174">
        <v>45814.82</v>
      </c>
      <c r="G17" s="171">
        <f t="shared" si="1"/>
        <v>6.3243467392801803E-2</v>
      </c>
      <c r="H17" s="174">
        <v>4094837.35</v>
      </c>
      <c r="I17" s="171">
        <f t="shared" si="2"/>
        <v>4.0006317209128027E-3</v>
      </c>
      <c r="J17" s="170">
        <v>0</v>
      </c>
      <c r="K17" s="171">
        <f t="shared" si="3"/>
        <v>0</v>
      </c>
      <c r="L17" s="174">
        <v>2756474.01</v>
      </c>
      <c r="M17" s="171">
        <f t="shared" si="4"/>
        <v>7.5709244419369824E-3</v>
      </c>
      <c r="N17" s="174">
        <v>3269.78</v>
      </c>
      <c r="O17" s="176">
        <v>41</v>
      </c>
      <c r="Q17" s="420"/>
    </row>
    <row r="18" spans="2:17" s="45" customFormat="1" ht="26.4" x14ac:dyDescent="0.3">
      <c r="B18" s="175">
        <v>13</v>
      </c>
      <c r="C18" s="173" t="s">
        <v>102</v>
      </c>
      <c r="D18" s="170">
        <v>7461841.7999999998</v>
      </c>
      <c r="E18" s="171">
        <f t="shared" si="0"/>
        <v>6.7894469378216998E-3</v>
      </c>
      <c r="F18" s="174">
        <v>0</v>
      </c>
      <c r="G18" s="171">
        <f t="shared" si="1"/>
        <v>0</v>
      </c>
      <c r="H18" s="174">
        <v>6405170.8600000003</v>
      </c>
      <c r="I18" s="171">
        <f t="shared" si="2"/>
        <v>6.25781381045143E-3</v>
      </c>
      <c r="J18" s="170">
        <v>1056670.94</v>
      </c>
      <c r="K18" s="171">
        <f t="shared" si="3"/>
        <v>3.6432928705323865E-2</v>
      </c>
      <c r="L18" s="174">
        <v>7342578.6900000004</v>
      </c>
      <c r="M18" s="171">
        <f t="shared" si="4"/>
        <v>2.0167107786721573E-2</v>
      </c>
      <c r="N18" s="174">
        <v>12673.14</v>
      </c>
      <c r="O18" s="176">
        <v>9</v>
      </c>
      <c r="Q18" s="420"/>
    </row>
    <row r="19" spans="2:17" s="45" customFormat="1" ht="26.4" x14ac:dyDescent="0.3">
      <c r="B19" s="175">
        <v>14</v>
      </c>
      <c r="C19" s="173" t="s">
        <v>103</v>
      </c>
      <c r="D19" s="170">
        <v>37667184.43</v>
      </c>
      <c r="E19" s="171">
        <f t="shared" si="0"/>
        <v>3.4272952555041931E-2</v>
      </c>
      <c r="F19" s="174">
        <v>0</v>
      </c>
      <c r="G19" s="171">
        <f t="shared" si="1"/>
        <v>0</v>
      </c>
      <c r="H19" s="174">
        <v>37067184.430000007</v>
      </c>
      <c r="I19" s="171">
        <f t="shared" si="2"/>
        <v>3.6214418586267692E-2</v>
      </c>
      <c r="J19" s="170">
        <v>600000</v>
      </c>
      <c r="K19" s="171">
        <f t="shared" si="3"/>
        <v>2.0687383740480573E-2</v>
      </c>
      <c r="L19" s="174">
        <v>21988097.219999999</v>
      </c>
      <c r="M19" s="171">
        <f t="shared" si="4"/>
        <v>6.0392451396479745E-2</v>
      </c>
      <c r="N19" s="174">
        <v>27859.49</v>
      </c>
      <c r="O19" s="176">
        <v>21</v>
      </c>
      <c r="Q19" s="420"/>
    </row>
    <row r="20" spans="2:17" s="45" customFormat="1" ht="26.4" x14ac:dyDescent="0.3">
      <c r="B20" s="175">
        <v>15</v>
      </c>
      <c r="C20" s="173" t="s">
        <v>104</v>
      </c>
      <c r="D20" s="170">
        <v>23778589.219999999</v>
      </c>
      <c r="E20" s="171">
        <f t="shared" si="0"/>
        <v>2.163587410355565E-2</v>
      </c>
      <c r="F20" s="174">
        <v>7026.13</v>
      </c>
      <c r="G20" s="171">
        <f t="shared" si="1"/>
        <v>9.6989756492022999E-3</v>
      </c>
      <c r="H20" s="174">
        <v>23747658.550000004</v>
      </c>
      <c r="I20" s="171">
        <f t="shared" si="2"/>
        <v>2.3201321071406204E-2</v>
      </c>
      <c r="J20" s="170">
        <v>23904.54</v>
      </c>
      <c r="K20" s="171">
        <f t="shared" si="3"/>
        <v>8.242039868661124E-4</v>
      </c>
      <c r="L20" s="174">
        <v>7093217.9699999997</v>
      </c>
      <c r="M20" s="171">
        <f t="shared" si="4"/>
        <v>1.9482214273103059E-2</v>
      </c>
      <c r="N20" s="174">
        <v>7177.92</v>
      </c>
      <c r="O20" s="176">
        <v>74</v>
      </c>
      <c r="Q20" s="420"/>
    </row>
    <row r="21" spans="2:17" s="45" customFormat="1" ht="26.4" x14ac:dyDescent="0.3">
      <c r="B21" s="175">
        <v>16</v>
      </c>
      <c r="C21" s="173" t="s">
        <v>105</v>
      </c>
      <c r="D21" s="170">
        <v>9498.7199999999993</v>
      </c>
      <c r="E21" s="171">
        <f t="shared" si="0"/>
        <v>8.6427797782078058E-6</v>
      </c>
      <c r="F21" s="174">
        <v>9498.7200000000012</v>
      </c>
      <c r="G21" s="171">
        <f t="shared" si="1"/>
        <v>1.3112176116666057E-2</v>
      </c>
      <c r="H21" s="174">
        <v>0</v>
      </c>
      <c r="I21" s="171">
        <f t="shared" si="2"/>
        <v>0</v>
      </c>
      <c r="J21" s="170">
        <v>0</v>
      </c>
      <c r="K21" s="171">
        <f t="shared" si="3"/>
        <v>0</v>
      </c>
      <c r="L21" s="174">
        <v>9498.7199999999993</v>
      </c>
      <c r="M21" s="171">
        <f t="shared" si="4"/>
        <v>2.6089159975470131E-5</v>
      </c>
      <c r="N21" s="174">
        <v>31.17</v>
      </c>
      <c r="O21" s="176">
        <v>2</v>
      </c>
      <c r="Q21" s="420"/>
    </row>
    <row r="22" spans="2:17" s="45" customFormat="1" ht="26.4" x14ac:dyDescent="0.3">
      <c r="B22" s="175">
        <v>17</v>
      </c>
      <c r="C22" s="173" t="s">
        <v>106</v>
      </c>
      <c r="D22" s="170">
        <v>8485217.8000000007</v>
      </c>
      <c r="E22" s="171">
        <f t="shared" si="0"/>
        <v>7.7206053884659124E-3</v>
      </c>
      <c r="F22" s="174">
        <v>4336.9799999999996</v>
      </c>
      <c r="G22" s="171">
        <f t="shared" si="1"/>
        <v>5.9868324968478225E-3</v>
      </c>
      <c r="H22" s="174">
        <v>8350538.3400000008</v>
      </c>
      <c r="I22" s="171">
        <f t="shared" si="2"/>
        <v>8.1584262607408663E-3</v>
      </c>
      <c r="J22" s="170">
        <v>130342.48</v>
      </c>
      <c r="K22" s="171">
        <f t="shared" si="3"/>
        <v>4.4940748357431897E-3</v>
      </c>
      <c r="L22" s="174">
        <v>3636022.16</v>
      </c>
      <c r="M22" s="171">
        <f t="shared" si="4"/>
        <v>9.9866891335458324E-3</v>
      </c>
      <c r="N22" s="174">
        <v>14085.24</v>
      </c>
      <c r="O22" s="176">
        <v>42</v>
      </c>
      <c r="Q22" s="420"/>
    </row>
    <row r="23" spans="2:17" s="45" customFormat="1" ht="26.4" x14ac:dyDescent="0.3">
      <c r="B23" s="175">
        <v>18</v>
      </c>
      <c r="C23" s="173" t="s">
        <v>107</v>
      </c>
      <c r="D23" s="170">
        <v>2394698.3199999998</v>
      </c>
      <c r="E23" s="171">
        <f t="shared" si="0"/>
        <v>2.1789093914763467E-3</v>
      </c>
      <c r="F23" s="174">
        <v>17463.599999999999</v>
      </c>
      <c r="G23" s="171">
        <f t="shared" si="1"/>
        <v>2.4107016401263465E-2</v>
      </c>
      <c r="H23" s="174">
        <v>2377234.7199999997</v>
      </c>
      <c r="I23" s="171">
        <f t="shared" si="2"/>
        <v>2.3225441735524031E-3</v>
      </c>
      <c r="J23" s="170">
        <v>0</v>
      </c>
      <c r="K23" s="171">
        <f t="shared" si="3"/>
        <v>0</v>
      </c>
      <c r="L23" s="174">
        <v>1215907.08</v>
      </c>
      <c r="M23" s="171">
        <f t="shared" si="4"/>
        <v>3.3396072655501757E-3</v>
      </c>
      <c r="N23" s="174">
        <v>8248.85</v>
      </c>
      <c r="O23" s="176">
        <v>56</v>
      </c>
      <c r="Q23" s="420"/>
    </row>
    <row r="24" spans="2:17" s="45" customFormat="1" ht="26.4" x14ac:dyDescent="0.3">
      <c r="B24" s="175">
        <v>19</v>
      </c>
      <c r="C24" s="173" t="s">
        <v>108</v>
      </c>
      <c r="D24" s="170">
        <v>103219427.43000001</v>
      </c>
      <c r="E24" s="171">
        <f t="shared" si="0"/>
        <v>9.3918210044110384E-2</v>
      </c>
      <c r="F24" s="174">
        <v>0</v>
      </c>
      <c r="G24" s="171">
        <f t="shared" si="1"/>
        <v>0</v>
      </c>
      <c r="H24" s="174">
        <v>100411201.06</v>
      </c>
      <c r="I24" s="171">
        <f t="shared" si="2"/>
        <v>9.8101145847853816E-2</v>
      </c>
      <c r="J24" s="170">
        <v>2808226.37</v>
      </c>
      <c r="K24" s="171">
        <f t="shared" si="3"/>
        <v>9.6824760910544636E-2</v>
      </c>
      <c r="L24" s="174">
        <v>19139143.600000001</v>
      </c>
      <c r="M24" s="171">
        <f t="shared" si="4"/>
        <v>5.2567522695046845E-2</v>
      </c>
      <c r="N24" s="174">
        <v>12486.89</v>
      </c>
      <c r="O24" s="176">
        <v>52</v>
      </c>
      <c r="Q24" s="420"/>
    </row>
    <row r="25" spans="2:17" s="45" customFormat="1" ht="26.4" x14ac:dyDescent="0.3">
      <c r="B25" s="175">
        <v>20</v>
      </c>
      <c r="C25" s="173" t="s">
        <v>109</v>
      </c>
      <c r="D25" s="170">
        <v>61324612.450000003</v>
      </c>
      <c r="E25" s="171">
        <f t="shared" si="0"/>
        <v>5.5798583429061036E-2</v>
      </c>
      <c r="F25" s="174">
        <v>48125.55</v>
      </c>
      <c r="G25" s="171">
        <f t="shared" si="1"/>
        <v>6.6433233879029815E-2</v>
      </c>
      <c r="H25" s="174">
        <v>61092513.359999985</v>
      </c>
      <c r="I25" s="171">
        <f t="shared" si="2"/>
        <v>5.9687021966404866E-2</v>
      </c>
      <c r="J25" s="170">
        <v>183973.54</v>
      </c>
      <c r="K25" s="171">
        <f t="shared" si="3"/>
        <v>6.3432187001244205E-3</v>
      </c>
      <c r="L25" s="174">
        <v>10174526.039999999</v>
      </c>
      <c r="M25" s="171">
        <f t="shared" si="4"/>
        <v>2.7945327110615599E-2</v>
      </c>
      <c r="N25" s="174">
        <v>7812.44</v>
      </c>
      <c r="O25" s="176">
        <v>93</v>
      </c>
      <c r="Q25" s="420"/>
    </row>
    <row r="26" spans="2:17" s="45" customFormat="1" ht="26.4" x14ac:dyDescent="0.3">
      <c r="B26" s="175">
        <v>21</v>
      </c>
      <c r="C26" s="173" t="s">
        <v>110</v>
      </c>
      <c r="D26" s="170">
        <v>134714</v>
      </c>
      <c r="E26" s="171">
        <f t="shared" si="0"/>
        <v>1.225747716578114E-4</v>
      </c>
      <c r="F26" s="174">
        <v>2475</v>
      </c>
      <c r="G26" s="171">
        <f t="shared" si="1"/>
        <v>3.4165272677527591E-3</v>
      </c>
      <c r="H26" s="174">
        <v>132239</v>
      </c>
      <c r="I26" s="171">
        <f t="shared" si="2"/>
        <v>1.2919671599209869E-4</v>
      </c>
      <c r="J26" s="170">
        <v>0</v>
      </c>
      <c r="K26" s="171">
        <f t="shared" si="3"/>
        <v>0</v>
      </c>
      <c r="L26" s="174">
        <v>56784.77</v>
      </c>
      <c r="M26" s="171">
        <f t="shared" si="4"/>
        <v>1.5596490355545558E-4</v>
      </c>
      <c r="N26" s="174">
        <v>669.93</v>
      </c>
      <c r="O26" s="176">
        <v>14</v>
      </c>
      <c r="Q26" s="420"/>
    </row>
    <row r="27" spans="2:17" s="45" customFormat="1" ht="26.4" x14ac:dyDescent="0.3">
      <c r="B27" s="175">
        <v>22</v>
      </c>
      <c r="C27" s="173" t="s">
        <v>111</v>
      </c>
      <c r="D27" s="170">
        <v>50078545.200000003</v>
      </c>
      <c r="E27" s="171">
        <f t="shared" si="0"/>
        <v>4.5565911804603738E-2</v>
      </c>
      <c r="F27" s="174">
        <v>4050</v>
      </c>
      <c r="G27" s="171">
        <f t="shared" si="1"/>
        <v>5.5906809835954245E-3</v>
      </c>
      <c r="H27" s="174">
        <v>50074495.200000003</v>
      </c>
      <c r="I27" s="171">
        <f t="shared" si="2"/>
        <v>4.8922483796777876E-2</v>
      </c>
      <c r="J27" s="170">
        <v>0</v>
      </c>
      <c r="K27" s="171">
        <f t="shared" si="3"/>
        <v>0</v>
      </c>
      <c r="L27" s="174">
        <v>20238265.890000001</v>
      </c>
      <c r="M27" s="171">
        <f t="shared" si="4"/>
        <v>5.558636915608739E-2</v>
      </c>
      <c r="N27" s="174">
        <v>7398.75</v>
      </c>
      <c r="O27" s="176">
        <v>31</v>
      </c>
      <c r="Q27" s="420"/>
    </row>
    <row r="28" spans="2:17" s="45" customFormat="1" ht="26.4" x14ac:dyDescent="0.3">
      <c r="B28" s="175">
        <v>23</v>
      </c>
      <c r="C28" s="173" t="s">
        <v>112</v>
      </c>
      <c r="D28" s="170">
        <v>1663724.44</v>
      </c>
      <c r="E28" s="171">
        <f t="shared" si="0"/>
        <v>1.5138043806472983E-3</v>
      </c>
      <c r="F28" s="174">
        <v>268865.13</v>
      </c>
      <c r="G28" s="171">
        <f t="shared" si="1"/>
        <v>0.37114547393652136</v>
      </c>
      <c r="H28" s="174">
        <v>1149847.93</v>
      </c>
      <c r="I28" s="171">
        <f t="shared" si="2"/>
        <v>1.1233945843987974E-3</v>
      </c>
      <c r="J28" s="170">
        <v>245011.38000000003</v>
      </c>
      <c r="K28" s="171">
        <f t="shared" si="3"/>
        <v>8.4477407314078462E-3</v>
      </c>
      <c r="L28" s="174">
        <v>1663724.44</v>
      </c>
      <c r="M28" s="171">
        <f t="shared" si="4"/>
        <v>4.5695812772941465E-3</v>
      </c>
      <c r="N28" s="174">
        <v>10912.88</v>
      </c>
      <c r="O28" s="176">
        <v>106</v>
      </c>
      <c r="Q28" s="420"/>
    </row>
    <row r="29" spans="2:17" s="45" customFormat="1" ht="26.4" x14ac:dyDescent="0.3">
      <c r="B29" s="175">
        <v>24</v>
      </c>
      <c r="C29" s="173" t="s">
        <v>113</v>
      </c>
      <c r="D29" s="170">
        <v>247271249.71000001</v>
      </c>
      <c r="E29" s="171">
        <f t="shared" si="0"/>
        <v>0.22498936243259732</v>
      </c>
      <c r="F29" s="174">
        <v>41056.32</v>
      </c>
      <c r="G29" s="171">
        <f t="shared" si="1"/>
        <v>5.6674762340841602E-2</v>
      </c>
      <c r="H29" s="174">
        <v>239856033.56000003</v>
      </c>
      <c r="I29" s="171">
        <f t="shared" si="2"/>
        <v>0.23433791730762193</v>
      </c>
      <c r="J29" s="170">
        <v>7374159.8300000001</v>
      </c>
      <c r="K29" s="171">
        <f t="shared" si="3"/>
        <v>0.25425345694474494</v>
      </c>
      <c r="L29" s="174">
        <v>88680264.709999993</v>
      </c>
      <c r="M29" s="171">
        <f t="shared" si="4"/>
        <v>0.24356898747265193</v>
      </c>
      <c r="N29" s="174">
        <v>47455.12</v>
      </c>
      <c r="O29" s="176">
        <v>247</v>
      </c>
      <c r="Q29" s="420"/>
    </row>
    <row r="30" spans="2:17" s="45" customFormat="1" ht="26.4" x14ac:dyDescent="0.3">
      <c r="B30" s="175">
        <v>25</v>
      </c>
      <c r="C30" s="173" t="s">
        <v>114</v>
      </c>
      <c r="D30" s="170">
        <v>15770295.310000001</v>
      </c>
      <c r="E30" s="171">
        <f t="shared" si="0"/>
        <v>1.4349216463021692E-2</v>
      </c>
      <c r="F30" s="174">
        <v>0</v>
      </c>
      <c r="G30" s="171">
        <f t="shared" si="1"/>
        <v>0</v>
      </c>
      <c r="H30" s="174">
        <v>12770747.410000002</v>
      </c>
      <c r="I30" s="171">
        <f t="shared" si="2"/>
        <v>1.2476944215674652E-2</v>
      </c>
      <c r="J30" s="170">
        <v>2999547.9</v>
      </c>
      <c r="K30" s="171">
        <f t="shared" si="3"/>
        <v>0.1034213307587544</v>
      </c>
      <c r="L30" s="174">
        <v>9073801.3100000005</v>
      </c>
      <c r="M30" s="171">
        <f t="shared" si="4"/>
        <v>2.492207939198339E-2</v>
      </c>
      <c r="N30" s="174">
        <v>95803.72</v>
      </c>
      <c r="O30" s="176">
        <v>26</v>
      </c>
      <c r="Q30" s="420"/>
    </row>
    <row r="31" spans="2:17" s="45" customFormat="1" ht="26.4" x14ac:dyDescent="0.3">
      <c r="B31" s="175">
        <v>26</v>
      </c>
      <c r="C31" s="173" t="s">
        <v>115</v>
      </c>
      <c r="D31" s="170">
        <v>754327.51</v>
      </c>
      <c r="E31" s="171">
        <f t="shared" si="0"/>
        <v>6.8635421926047362E-4</v>
      </c>
      <c r="F31" s="174">
        <v>2760</v>
      </c>
      <c r="G31" s="171">
        <f t="shared" si="1"/>
        <v>3.8099455591909556E-3</v>
      </c>
      <c r="H31" s="174">
        <v>751567.51</v>
      </c>
      <c r="I31" s="171">
        <f t="shared" si="2"/>
        <v>7.3427698438704764E-4</v>
      </c>
      <c r="J31" s="170">
        <v>0</v>
      </c>
      <c r="K31" s="171">
        <f t="shared" si="3"/>
        <v>0</v>
      </c>
      <c r="L31" s="174">
        <v>751254.06</v>
      </c>
      <c r="M31" s="171">
        <f t="shared" si="4"/>
        <v>2.0633924732554954E-3</v>
      </c>
      <c r="N31" s="174">
        <v>1867.53</v>
      </c>
      <c r="O31" s="176">
        <v>5</v>
      </c>
      <c r="Q31" s="420"/>
    </row>
    <row r="32" spans="2:17" s="45" customFormat="1" ht="26.4" x14ac:dyDescent="0.3">
      <c r="B32" s="175">
        <v>27</v>
      </c>
      <c r="C32" s="169" t="s">
        <v>116</v>
      </c>
      <c r="D32" s="170">
        <v>2824143.78</v>
      </c>
      <c r="E32" s="171">
        <f t="shared" si="0"/>
        <v>2.5696570435316921E-3</v>
      </c>
      <c r="F32" s="170">
        <v>0</v>
      </c>
      <c r="G32" s="171">
        <f t="shared" si="1"/>
        <v>0</v>
      </c>
      <c r="H32" s="170">
        <v>2824143.78</v>
      </c>
      <c r="I32" s="171">
        <f t="shared" si="2"/>
        <v>2.7591716654354012E-3</v>
      </c>
      <c r="J32" s="170">
        <v>0</v>
      </c>
      <c r="K32" s="171">
        <f t="shared" si="3"/>
        <v>0</v>
      </c>
      <c r="L32" s="170">
        <v>1447924.6</v>
      </c>
      <c r="M32" s="171">
        <f t="shared" si="4"/>
        <v>3.9768659905564758E-3</v>
      </c>
      <c r="N32" s="170">
        <v>361.16</v>
      </c>
      <c r="O32" s="172">
        <v>6</v>
      </c>
      <c r="Q32" s="420"/>
    </row>
    <row r="33" spans="2:17" s="45" customFormat="1" ht="20.25" customHeight="1" x14ac:dyDescent="0.3">
      <c r="B33" s="185"/>
      <c r="C33" s="186"/>
      <c r="D33" s="187"/>
      <c r="E33" s="188"/>
      <c r="F33" s="187"/>
      <c r="G33" s="188"/>
      <c r="H33" s="187"/>
      <c r="I33" s="188"/>
      <c r="J33" s="187"/>
      <c r="K33" s="188"/>
      <c r="L33" s="187"/>
      <c r="M33" s="188"/>
      <c r="N33" s="189"/>
      <c r="O33" s="190"/>
    </row>
    <row r="34" spans="2:17" s="55" customFormat="1" ht="31.8" x14ac:dyDescent="0.3">
      <c r="B34" s="191" t="s">
        <v>117</v>
      </c>
      <c r="C34" s="192"/>
      <c r="D34" s="193">
        <f>SUM(D6:D33)</f>
        <v>686990445.57999992</v>
      </c>
      <c r="E34" s="194">
        <f t="shared" si="0"/>
        <v>0.62508497259428575</v>
      </c>
      <c r="F34" s="193">
        <f>SUM(F6:F32)</f>
        <v>724419.79999999993</v>
      </c>
      <c r="G34" s="194">
        <f t="shared" si="1"/>
        <v>1</v>
      </c>
      <c r="H34" s="193">
        <f>SUM(H6:H32)</f>
        <v>659428179.65999997</v>
      </c>
      <c r="I34" s="194">
        <f t="shared" si="2"/>
        <v>0.64425740700337764</v>
      </c>
      <c r="J34" s="193">
        <f>SUM(J6:J32)</f>
        <v>26837846.120000001</v>
      </c>
      <c r="K34" s="194">
        <f t="shared" si="3"/>
        <v>0.92534136908734599</v>
      </c>
      <c r="L34" s="193">
        <f>SUM(L6:L32)</f>
        <v>249821938.58999994</v>
      </c>
      <c r="M34" s="194">
        <f t="shared" si="4"/>
        <v>0.68616029541418044</v>
      </c>
      <c r="N34" s="193">
        <f>SUM(N6:N32)</f>
        <v>605605.26</v>
      </c>
      <c r="O34" s="195">
        <f>SUM(O6:O33)</f>
        <v>1420</v>
      </c>
    </row>
    <row r="35" spans="2:17" ht="15.6" x14ac:dyDescent="0.3">
      <c r="B35" s="166"/>
      <c r="C35" s="166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7"/>
    </row>
    <row r="36" spans="2:17" x14ac:dyDescent="0.3">
      <c r="B36" s="454" t="s">
        <v>118</v>
      </c>
      <c r="C36" s="454"/>
      <c r="D36" s="455" t="s">
        <v>80</v>
      </c>
      <c r="E36" s="455" t="s">
        <v>81</v>
      </c>
      <c r="F36" s="455" t="s">
        <v>82</v>
      </c>
      <c r="G36" s="455" t="s">
        <v>81</v>
      </c>
      <c r="H36" s="455" t="s">
        <v>83</v>
      </c>
      <c r="I36" s="455" t="s">
        <v>81</v>
      </c>
      <c r="J36" s="455" t="s">
        <v>84</v>
      </c>
      <c r="K36" s="455" t="s">
        <v>81</v>
      </c>
      <c r="L36" s="455" t="s">
        <v>85</v>
      </c>
      <c r="M36" s="455" t="s">
        <v>81</v>
      </c>
      <c r="N36" s="455" t="s">
        <v>86</v>
      </c>
      <c r="O36" s="455" t="s">
        <v>87</v>
      </c>
    </row>
    <row r="37" spans="2:17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88</v>
      </c>
      <c r="M37" s="455"/>
      <c r="N37" s="455" t="s">
        <v>89</v>
      </c>
      <c r="O37" s="455" t="s">
        <v>90</v>
      </c>
    </row>
    <row r="38" spans="2:17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</row>
    <row r="39" spans="2:17" s="45" customFormat="1" ht="26.4" x14ac:dyDescent="0.3">
      <c r="B39" s="168">
        <v>1</v>
      </c>
      <c r="C39" s="169" t="s">
        <v>130</v>
      </c>
      <c r="D39" s="170">
        <v>0</v>
      </c>
      <c r="E39" s="171">
        <f t="shared" ref="E39:E45" si="5">D39/$D$53</f>
        <v>0</v>
      </c>
      <c r="F39" s="170">
        <v>0</v>
      </c>
      <c r="G39" s="171">
        <f t="shared" ref="G39:G45" si="6">F39/$F$53</f>
        <v>0</v>
      </c>
      <c r="H39" s="170">
        <v>0</v>
      </c>
      <c r="I39" s="171">
        <f t="shared" ref="I39:I45" si="7">H39/$H$53</f>
        <v>0</v>
      </c>
      <c r="J39" s="170">
        <v>0</v>
      </c>
      <c r="K39" s="171">
        <f t="shared" ref="K39:K45" si="8">J39/$J$53</f>
        <v>0</v>
      </c>
      <c r="L39" s="170">
        <v>0</v>
      </c>
      <c r="M39" s="171">
        <f t="shared" ref="M39:M45" si="9">L39/$L$53</f>
        <v>0</v>
      </c>
      <c r="N39" s="170">
        <v>0</v>
      </c>
      <c r="O39" s="172">
        <v>0</v>
      </c>
      <c r="Q39" s="420"/>
    </row>
    <row r="40" spans="2:17" s="45" customFormat="1" ht="26.4" x14ac:dyDescent="0.3">
      <c r="B40" s="168">
        <v>2</v>
      </c>
      <c r="C40" s="169" t="s">
        <v>119</v>
      </c>
      <c r="D40" s="170">
        <v>45760000</v>
      </c>
      <c r="E40" s="171">
        <f t="shared" si="5"/>
        <v>4.1636515514805066E-2</v>
      </c>
      <c r="F40" s="170">
        <v>0</v>
      </c>
      <c r="G40" s="171">
        <f t="shared" si="6"/>
        <v>0</v>
      </c>
      <c r="H40" s="170">
        <v>0</v>
      </c>
      <c r="I40" s="171">
        <f t="shared" si="7"/>
        <v>0</v>
      </c>
      <c r="J40" s="170">
        <v>0</v>
      </c>
      <c r="K40" s="171">
        <f t="shared" si="8"/>
        <v>0</v>
      </c>
      <c r="L40" s="170">
        <v>6827287.6600000001</v>
      </c>
      <c r="M40" s="171">
        <f t="shared" si="9"/>
        <v>1.8751810766113028E-2</v>
      </c>
      <c r="N40" s="170">
        <v>0</v>
      </c>
      <c r="O40" s="172">
        <v>8</v>
      </c>
      <c r="Q40" s="420"/>
    </row>
    <row r="41" spans="2:17" s="45" customFormat="1" ht="26.4" x14ac:dyDescent="0.3">
      <c r="B41" s="175">
        <v>3</v>
      </c>
      <c r="C41" s="173" t="s">
        <v>120</v>
      </c>
      <c r="D41" s="170">
        <v>49118470.369999997</v>
      </c>
      <c r="E41" s="171">
        <f t="shared" si="5"/>
        <v>4.4692350385139815E-2</v>
      </c>
      <c r="F41" s="174">
        <v>0</v>
      </c>
      <c r="G41" s="171">
        <f t="shared" si="6"/>
        <v>0</v>
      </c>
      <c r="H41" s="174">
        <v>48275000</v>
      </c>
      <c r="I41" s="171">
        <f t="shared" si="7"/>
        <v>4.7164387695903365E-2</v>
      </c>
      <c r="J41" s="174">
        <v>843470.37</v>
      </c>
      <c r="K41" s="171">
        <f t="shared" si="8"/>
        <v>2.9081992029858554E-2</v>
      </c>
      <c r="L41" s="174">
        <v>16651484.050000001</v>
      </c>
      <c r="M41" s="171">
        <f t="shared" si="9"/>
        <v>4.5734923359088311E-2</v>
      </c>
      <c r="N41" s="174">
        <v>0</v>
      </c>
      <c r="O41" s="176">
        <v>16</v>
      </c>
      <c r="Q41" s="420"/>
    </row>
    <row r="42" spans="2:17" s="45" customFormat="1" ht="26.4" x14ac:dyDescent="0.3">
      <c r="B42" s="168">
        <v>4</v>
      </c>
      <c r="C42" s="173" t="s">
        <v>121</v>
      </c>
      <c r="D42" s="170">
        <v>7860905.3700000001</v>
      </c>
      <c r="E42" s="171">
        <f t="shared" si="5"/>
        <v>7.1525504457696561E-3</v>
      </c>
      <c r="F42" s="174">
        <v>0</v>
      </c>
      <c r="G42" s="171">
        <f t="shared" si="6"/>
        <v>0</v>
      </c>
      <c r="H42" s="174">
        <v>6975905.3700000001</v>
      </c>
      <c r="I42" s="171">
        <f t="shared" si="7"/>
        <v>6.815418030048973E-3</v>
      </c>
      <c r="J42" s="174">
        <v>885000</v>
      </c>
      <c r="K42" s="171">
        <f t="shared" si="8"/>
        <v>3.0513891017208843E-2</v>
      </c>
      <c r="L42" s="174">
        <v>3829873.63</v>
      </c>
      <c r="M42" s="171">
        <f t="shared" si="9"/>
        <v>1.0519121083567524E-2</v>
      </c>
      <c r="N42" s="174">
        <v>0</v>
      </c>
      <c r="O42" s="176">
        <v>23</v>
      </c>
      <c r="Q42" s="420"/>
    </row>
    <row r="43" spans="2:17" s="45" customFormat="1" ht="26.4" x14ac:dyDescent="0.3">
      <c r="B43" s="175">
        <v>5</v>
      </c>
      <c r="C43" s="173" t="s">
        <v>122</v>
      </c>
      <c r="D43" s="170">
        <v>153195000</v>
      </c>
      <c r="E43" s="171">
        <f t="shared" si="5"/>
        <v>0.13939042819690914</v>
      </c>
      <c r="F43" s="174">
        <v>0</v>
      </c>
      <c r="G43" s="171">
        <f t="shared" si="6"/>
        <v>0</v>
      </c>
      <c r="H43" s="174">
        <v>153195000</v>
      </c>
      <c r="I43" s="171">
        <f t="shared" si="7"/>
        <v>0.14967060327444673</v>
      </c>
      <c r="J43" s="174">
        <v>0</v>
      </c>
      <c r="K43" s="171">
        <f t="shared" si="8"/>
        <v>0</v>
      </c>
      <c r="L43" s="174">
        <v>73623958.900000006</v>
      </c>
      <c r="M43" s="171">
        <f t="shared" si="9"/>
        <v>0.20221537657384767</v>
      </c>
      <c r="N43" s="174">
        <v>0</v>
      </c>
      <c r="O43" s="176">
        <v>19</v>
      </c>
      <c r="Q43" s="420"/>
    </row>
    <row r="44" spans="2:17" s="45" customFormat="1" ht="26.4" x14ac:dyDescent="0.3">
      <c r="B44" s="168">
        <v>6</v>
      </c>
      <c r="C44" s="173" t="s">
        <v>123</v>
      </c>
      <c r="D44" s="170">
        <v>0</v>
      </c>
      <c r="E44" s="171">
        <f t="shared" si="5"/>
        <v>0</v>
      </c>
      <c r="F44" s="174">
        <v>0</v>
      </c>
      <c r="G44" s="171">
        <f t="shared" si="6"/>
        <v>0</v>
      </c>
      <c r="H44" s="174">
        <v>0</v>
      </c>
      <c r="I44" s="171">
        <f t="shared" si="7"/>
        <v>0</v>
      </c>
      <c r="J44" s="174">
        <v>0</v>
      </c>
      <c r="K44" s="171">
        <f t="shared" si="8"/>
        <v>0</v>
      </c>
      <c r="L44" s="174">
        <v>0</v>
      </c>
      <c r="M44" s="171">
        <f t="shared" si="9"/>
        <v>0</v>
      </c>
      <c r="N44" s="174">
        <v>0</v>
      </c>
      <c r="O44" s="176">
        <v>0</v>
      </c>
      <c r="Q44" s="420"/>
    </row>
    <row r="45" spans="2:17" s="45" customFormat="1" ht="26.4" x14ac:dyDescent="0.3">
      <c r="B45" s="175">
        <v>7</v>
      </c>
      <c r="C45" s="173" t="s">
        <v>124</v>
      </c>
      <c r="D45" s="170">
        <v>156110471</v>
      </c>
      <c r="E45" s="171">
        <f t="shared" si="5"/>
        <v>0.14204318286309062</v>
      </c>
      <c r="F45" s="174">
        <v>0</v>
      </c>
      <c r="G45" s="171">
        <f t="shared" si="6"/>
        <v>0</v>
      </c>
      <c r="H45" s="174">
        <v>155673603.35000002</v>
      </c>
      <c r="I45" s="171">
        <f t="shared" si="7"/>
        <v>0.15209218399622335</v>
      </c>
      <c r="J45" s="174">
        <v>436867.65</v>
      </c>
      <c r="K45" s="171">
        <f t="shared" si="8"/>
        <v>1.5062747865586597E-2</v>
      </c>
      <c r="L45" s="174">
        <v>13332304.310000001</v>
      </c>
      <c r="M45" s="171">
        <f t="shared" si="9"/>
        <v>3.6618472803202955E-2</v>
      </c>
      <c r="N45" s="174">
        <v>0</v>
      </c>
      <c r="O45" s="176">
        <v>30</v>
      </c>
      <c r="Q45" s="420"/>
    </row>
    <row r="46" spans="2:17" ht="19.2" x14ac:dyDescent="0.3">
      <c r="B46" s="177"/>
      <c r="C46" s="177"/>
      <c r="D46" s="178"/>
      <c r="E46" s="179"/>
      <c r="F46" s="178"/>
      <c r="G46" s="179"/>
      <c r="H46" s="178"/>
      <c r="I46" s="179"/>
      <c r="J46" s="178"/>
      <c r="K46" s="179"/>
      <c r="L46" s="178"/>
      <c r="M46" s="179" t="s">
        <v>125</v>
      </c>
      <c r="N46" s="178"/>
      <c r="O46" s="180"/>
    </row>
    <row r="47" spans="2:17" s="55" customFormat="1" ht="31.8" x14ac:dyDescent="0.3">
      <c r="B47" s="191" t="s">
        <v>126</v>
      </c>
      <c r="C47" s="192"/>
      <c r="D47" s="193">
        <f>SUM(D39:D46)</f>
        <v>412044846.74000001</v>
      </c>
      <c r="E47" s="194">
        <f t="shared" ref="E47" si="10">D47/$D$53</f>
        <v>0.37491502740571431</v>
      </c>
      <c r="F47" s="193">
        <f>SUM(F39:F45)</f>
        <v>0</v>
      </c>
      <c r="G47" s="194">
        <f t="shared" ref="G47" si="11">F47/$F$53</f>
        <v>0</v>
      </c>
      <c r="H47" s="193">
        <f>SUM(H39:H45)</f>
        <v>364119508.72000003</v>
      </c>
      <c r="I47" s="194">
        <f t="shared" ref="I47" si="12">H47/$H$53</f>
        <v>0.35574259299662242</v>
      </c>
      <c r="J47" s="193">
        <f>SUM(J39:J45)</f>
        <v>2165338.02</v>
      </c>
      <c r="K47" s="194">
        <f t="shared" ref="K47" si="13">J47/$J$53</f>
        <v>7.4658630912653998E-2</v>
      </c>
      <c r="L47" s="193">
        <f>SUM(L39:L45)</f>
        <v>114264908.55000001</v>
      </c>
      <c r="M47" s="194">
        <f t="shared" ref="M47" si="14">L47/$L$53</f>
        <v>0.3138397045858195</v>
      </c>
      <c r="N47" s="193">
        <f>SUM(N39:N45)</f>
        <v>0</v>
      </c>
      <c r="O47" s="195">
        <f>SUM(O39:O45)</f>
        <v>96</v>
      </c>
    </row>
    <row r="48" spans="2:17" ht="19.2" hidden="1" x14ac:dyDescent="0.3">
      <c r="B48" s="181"/>
      <c r="C48" s="181"/>
      <c r="D48" s="182"/>
      <c r="E48" s="183"/>
      <c r="F48" s="182"/>
      <c r="G48" s="183"/>
      <c r="H48" s="182"/>
      <c r="I48" s="183"/>
      <c r="J48" s="182"/>
      <c r="K48" s="183"/>
      <c r="L48" s="182"/>
      <c r="M48" s="183"/>
      <c r="N48" s="182"/>
      <c r="O48" s="184"/>
    </row>
    <row r="49" spans="2:15" ht="19.2" hidden="1" x14ac:dyDescent="0.3">
      <c r="B49" s="181"/>
      <c r="C49" s="181"/>
      <c r="D49" s="182"/>
      <c r="E49" s="183"/>
      <c r="F49" s="182"/>
      <c r="G49" s="183"/>
      <c r="H49" s="182"/>
      <c r="I49" s="183"/>
      <c r="J49" s="182"/>
      <c r="K49" s="183"/>
      <c r="L49" s="182"/>
      <c r="M49" s="183"/>
      <c r="N49" s="182"/>
      <c r="O49" s="184"/>
    </row>
    <row r="50" spans="2:15" ht="19.2" hidden="1" x14ac:dyDescent="0.3">
      <c r="B50" s="181" t="s">
        <v>127</v>
      </c>
      <c r="C50" s="181"/>
      <c r="D50" s="182">
        <v>0</v>
      </c>
      <c r="E50" s="183">
        <v>0</v>
      </c>
      <c r="F50" s="182">
        <v>0</v>
      </c>
      <c r="G50" s="183">
        <v>0</v>
      </c>
      <c r="H50" s="182">
        <v>0</v>
      </c>
      <c r="I50" s="183">
        <v>0</v>
      </c>
      <c r="J50" s="182">
        <v>0</v>
      </c>
      <c r="K50" s="183">
        <v>0</v>
      </c>
      <c r="L50" s="182">
        <v>0</v>
      </c>
      <c r="M50" s="183">
        <v>0</v>
      </c>
      <c r="N50" s="182">
        <v>0</v>
      </c>
      <c r="O50" s="184">
        <v>0</v>
      </c>
    </row>
    <row r="51" spans="2:15" ht="19.2" x14ac:dyDescent="0.3">
      <c r="B51" s="181"/>
      <c r="C51" s="181"/>
      <c r="D51" s="182"/>
      <c r="E51" s="183"/>
      <c r="F51" s="182"/>
      <c r="G51" s="183"/>
      <c r="H51" s="182"/>
      <c r="I51" s="183"/>
      <c r="J51" s="182"/>
      <c r="K51" s="183"/>
      <c r="L51" s="182"/>
      <c r="M51" s="183"/>
      <c r="N51" s="182"/>
      <c r="O51" s="184"/>
    </row>
    <row r="52" spans="2:15" ht="19.2" x14ac:dyDescent="0.3">
      <c r="B52" s="181"/>
      <c r="C52" s="181"/>
      <c r="D52" s="182"/>
      <c r="E52" s="183"/>
      <c r="F52" s="182"/>
      <c r="G52" s="183"/>
      <c r="H52" s="182"/>
      <c r="I52" s="183"/>
      <c r="J52" s="182"/>
      <c r="K52" s="183"/>
      <c r="L52" s="182"/>
      <c r="M52" s="183"/>
      <c r="N52" s="182"/>
      <c r="O52" s="184"/>
    </row>
    <row r="53" spans="2:15" s="55" customFormat="1" ht="31.8" x14ac:dyDescent="0.3">
      <c r="B53" s="191" t="s">
        <v>128</v>
      </c>
      <c r="C53" s="192"/>
      <c r="D53" s="193">
        <f>D34+D47</f>
        <v>1099035292.3199999</v>
      </c>
      <c r="E53" s="194">
        <f>E47+E34</f>
        <v>1</v>
      </c>
      <c r="F53" s="193">
        <f>F34+F47</f>
        <v>724419.79999999993</v>
      </c>
      <c r="G53" s="194">
        <f>G47+G34</f>
        <v>1</v>
      </c>
      <c r="H53" s="193">
        <f>H34+H47</f>
        <v>1023547688.38</v>
      </c>
      <c r="I53" s="194">
        <f>I47+I34</f>
        <v>1</v>
      </c>
      <c r="J53" s="193">
        <f>J34+J47</f>
        <v>29003184.140000001</v>
      </c>
      <c r="K53" s="194">
        <f>K47+K34</f>
        <v>1</v>
      </c>
      <c r="L53" s="193">
        <f>L34+L47</f>
        <v>364086847.13999999</v>
      </c>
      <c r="M53" s="194">
        <f>M47+M34</f>
        <v>1</v>
      </c>
      <c r="N53" s="193">
        <f>N34+N47</f>
        <v>605605.26</v>
      </c>
      <c r="O53" s="195">
        <f>O34+O47</f>
        <v>1516</v>
      </c>
    </row>
    <row r="54" spans="2:15" ht="15.6" x14ac:dyDescent="0.3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8.2" x14ac:dyDescent="0.3">
      <c r="B55" s="49"/>
      <c r="C55" s="50"/>
      <c r="D55" s="51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3">
      <c r="D56" s="52"/>
      <c r="E56" s="52"/>
      <c r="F56" s="52"/>
      <c r="H56" s="52"/>
      <c r="J56" s="52"/>
      <c r="L56" s="52"/>
    </row>
    <row r="57" spans="2:15" x14ac:dyDescent="0.3">
      <c r="D57" s="52"/>
      <c r="E57" s="52"/>
      <c r="F57" s="52"/>
      <c r="H57" s="52"/>
      <c r="J57" s="52"/>
      <c r="L57" s="52"/>
    </row>
    <row r="58" spans="2:15" ht="15.6" x14ac:dyDescent="0.3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8.2" x14ac:dyDescent="0.3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3">
      <c r="D60" s="52"/>
      <c r="E60" s="52"/>
      <c r="F60" s="52"/>
      <c r="H60" s="52"/>
      <c r="J60" s="52"/>
      <c r="L60" s="52"/>
    </row>
    <row r="61" spans="2:15" x14ac:dyDescent="0.3">
      <c r="D61" s="52"/>
      <c r="E61" s="52"/>
      <c r="F61" s="52"/>
      <c r="H61" s="52"/>
      <c r="J61" s="52"/>
      <c r="L61" s="52"/>
    </row>
  </sheetData>
  <mergeCells count="27">
    <mergeCell ref="H36:H38"/>
    <mergeCell ref="I36:I38"/>
    <mergeCell ref="J36:J38"/>
    <mergeCell ref="K36:K38"/>
    <mergeCell ref="L36:L38"/>
    <mergeCell ref="M3:M5"/>
    <mergeCell ref="N3:N5"/>
    <mergeCell ref="O3:O5"/>
    <mergeCell ref="N36:N38"/>
    <mergeCell ref="O36:O38"/>
    <mergeCell ref="M36:M38"/>
    <mergeCell ref="B36:C38"/>
    <mergeCell ref="D36:D38"/>
    <mergeCell ref="E36:E38"/>
    <mergeCell ref="F36:F38"/>
    <mergeCell ref="G36:G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D1290-3C6F-4BE2-9A6F-2EEF70D21AC8}">
  <sheetPr>
    <pageSetUpPr fitToPage="1"/>
  </sheetPr>
  <dimension ref="B1:Q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2.109375" style="44" customWidth="1"/>
    <col min="2" max="2" width="5.109375" style="44" customWidth="1"/>
    <col min="3" max="3" width="79.33203125" style="44" customWidth="1"/>
    <col min="4" max="4" width="30.109375" style="44" bestFit="1" customWidth="1"/>
    <col min="5" max="5" width="15.6640625" style="44" bestFit="1" customWidth="1"/>
    <col min="6" max="6" width="19.88671875" style="44" bestFit="1" customWidth="1"/>
    <col min="7" max="7" width="15.44140625" style="44" bestFit="1" customWidth="1"/>
    <col min="8" max="8" width="29.5546875" style="44" bestFit="1" customWidth="1"/>
    <col min="9" max="9" width="15.44140625" style="44" bestFit="1" customWidth="1"/>
    <col min="10" max="10" width="27.109375" style="44" bestFit="1" customWidth="1"/>
    <col min="11" max="11" width="15.44140625" style="44" bestFit="1" customWidth="1"/>
    <col min="12" max="12" width="27.6640625" style="44" bestFit="1" customWidth="1"/>
    <col min="13" max="13" width="15.6640625" style="44" bestFit="1" customWidth="1"/>
    <col min="14" max="14" width="22.33203125" style="44" bestFit="1" customWidth="1"/>
    <col min="15" max="15" width="23.44140625" style="44" bestFit="1" customWidth="1"/>
    <col min="16" max="16" width="4.109375" style="44" customWidth="1"/>
    <col min="17" max="17" width="15.88671875" style="44" customWidth="1"/>
    <col min="18" max="16384" width="11.44140625" style="44"/>
  </cols>
  <sheetData>
    <row r="1" spans="2:17" ht="81.599999999999994" customHeight="1" x14ac:dyDescent="0.3">
      <c r="B1" s="452" t="s">
        <v>308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163"/>
    </row>
    <row r="2" spans="2:17" x14ac:dyDescent="0.3">
      <c r="C2" s="164"/>
      <c r="I2" s="165"/>
    </row>
    <row r="3" spans="2:17" ht="31.95" customHeight="1" x14ac:dyDescent="0.3">
      <c r="B3" s="454" t="s">
        <v>79</v>
      </c>
      <c r="C3" s="454"/>
      <c r="D3" s="455" t="s">
        <v>80</v>
      </c>
      <c r="E3" s="455" t="s">
        <v>81</v>
      </c>
      <c r="F3" s="455" t="s">
        <v>82</v>
      </c>
      <c r="G3" s="455" t="s">
        <v>81</v>
      </c>
      <c r="H3" s="455" t="s">
        <v>83</v>
      </c>
      <c r="I3" s="455" t="s">
        <v>81</v>
      </c>
      <c r="J3" s="455" t="s">
        <v>84</v>
      </c>
      <c r="K3" s="455" t="s">
        <v>81</v>
      </c>
      <c r="L3" s="455" t="s">
        <v>85</v>
      </c>
      <c r="M3" s="455" t="s">
        <v>81</v>
      </c>
      <c r="N3" s="455" t="s">
        <v>86</v>
      </c>
      <c r="O3" s="455" t="s">
        <v>87</v>
      </c>
    </row>
    <row r="4" spans="2:17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88</v>
      </c>
      <c r="M4" s="455"/>
      <c r="N4" s="455" t="s">
        <v>89</v>
      </c>
      <c r="O4" s="455" t="s">
        <v>90</v>
      </c>
    </row>
    <row r="5" spans="2:17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</row>
    <row r="6" spans="2:17" s="45" customFormat="1" ht="26.4" x14ac:dyDescent="0.3">
      <c r="B6" s="168">
        <v>1</v>
      </c>
      <c r="C6" s="169" t="s">
        <v>91</v>
      </c>
      <c r="D6" s="170">
        <v>18957653.77</v>
      </c>
      <c r="E6" s="171">
        <f>D6/$D$53</f>
        <v>7.349770041507683E-3</v>
      </c>
      <c r="F6" s="170">
        <v>3354.2</v>
      </c>
      <c r="G6" s="171">
        <f>F6/$F$53</f>
        <v>3.0121567131868952E-3</v>
      </c>
      <c r="H6" s="170">
        <v>12169290.789999999</v>
      </c>
      <c r="I6" s="171">
        <f>H6/$H$53</f>
        <v>4.9845286507016629E-3</v>
      </c>
      <c r="J6" s="170">
        <v>6785008.7800000012</v>
      </c>
      <c r="K6" s="171">
        <f>J6/$J$53</f>
        <v>4.958815047217522E-2</v>
      </c>
      <c r="L6" s="170">
        <v>12838604.630000001</v>
      </c>
      <c r="M6" s="171">
        <f>L6/$L$53</f>
        <v>1.5636608446744346E-2</v>
      </c>
      <c r="N6" s="170">
        <v>61731.74</v>
      </c>
      <c r="O6" s="172">
        <v>93</v>
      </c>
      <c r="Q6" s="420"/>
    </row>
    <row r="7" spans="2:17" s="45" customFormat="1" ht="26.4" x14ac:dyDescent="0.3">
      <c r="B7" s="175">
        <v>2</v>
      </c>
      <c r="C7" s="173" t="s">
        <v>92</v>
      </c>
      <c r="D7" s="170">
        <v>49420.38</v>
      </c>
      <c r="E7" s="171">
        <f t="shared" ref="E7:E34" si="0">D7/$D$53</f>
        <v>1.9159988507582363E-5</v>
      </c>
      <c r="F7" s="174">
        <v>1140</v>
      </c>
      <c r="G7" s="171">
        <f t="shared" ref="G7:G34" si="1">F7/$F$53</f>
        <v>1.0237489276229983E-3</v>
      </c>
      <c r="H7" s="174">
        <v>48280.380000000005</v>
      </c>
      <c r="I7" s="171">
        <f t="shared" ref="I7:I34" si="2">H7/$H$53</f>
        <v>1.9775592639672931E-5</v>
      </c>
      <c r="J7" s="174">
        <v>0</v>
      </c>
      <c r="K7" s="171">
        <f t="shared" ref="K7:K34" si="3">J7/$J$53</f>
        <v>0</v>
      </c>
      <c r="L7" s="174">
        <v>49420.38</v>
      </c>
      <c r="M7" s="171">
        <f t="shared" ref="M7:M34" si="4">L7/$L$53</f>
        <v>6.019089719015012E-5</v>
      </c>
      <c r="N7" s="174">
        <v>687.91</v>
      </c>
      <c r="O7" s="176">
        <v>7</v>
      </c>
      <c r="Q7" s="420"/>
    </row>
    <row r="8" spans="2:17" s="45" customFormat="1" ht="26.4" x14ac:dyDescent="0.3">
      <c r="B8" s="175">
        <v>3</v>
      </c>
      <c r="C8" s="173" t="s">
        <v>93</v>
      </c>
      <c r="D8" s="170">
        <v>38415757.299999997</v>
      </c>
      <c r="E8" s="171">
        <f t="shared" si="0"/>
        <v>1.4893561489775537E-2</v>
      </c>
      <c r="F8" s="174">
        <v>88920.56</v>
      </c>
      <c r="G8" s="171">
        <f t="shared" si="1"/>
        <v>7.985291924880393E-2</v>
      </c>
      <c r="H8" s="174">
        <v>23769871.740000002</v>
      </c>
      <c r="I8" s="171">
        <f t="shared" si="2"/>
        <v>9.7361143517825169E-3</v>
      </c>
      <c r="J8" s="174">
        <v>14556965</v>
      </c>
      <c r="K8" s="171">
        <f t="shared" si="3"/>
        <v>0.10638939377145332</v>
      </c>
      <c r="L8" s="174">
        <v>27037077.559999999</v>
      </c>
      <c r="M8" s="171">
        <f t="shared" si="4"/>
        <v>3.2929450476424399E-2</v>
      </c>
      <c r="N8" s="174">
        <v>157649.85</v>
      </c>
      <c r="O8" s="176">
        <v>513</v>
      </c>
      <c r="Q8" s="420"/>
    </row>
    <row r="9" spans="2:17" s="45" customFormat="1" ht="26.4" x14ac:dyDescent="0.3">
      <c r="B9" s="175">
        <v>4</v>
      </c>
      <c r="C9" s="173" t="s">
        <v>94</v>
      </c>
      <c r="D9" s="170">
        <v>20526126.969999999</v>
      </c>
      <c r="E9" s="171">
        <f t="shared" si="0"/>
        <v>7.9578578078593563E-3</v>
      </c>
      <c r="F9" s="174">
        <v>158804.44</v>
      </c>
      <c r="G9" s="171">
        <f t="shared" si="1"/>
        <v>0.14261041679979894</v>
      </c>
      <c r="H9" s="174">
        <v>20256534.09</v>
      </c>
      <c r="I9" s="171">
        <f t="shared" si="2"/>
        <v>8.2970549621914289E-3</v>
      </c>
      <c r="J9" s="174">
        <v>110788.44000000002</v>
      </c>
      <c r="K9" s="171">
        <f t="shared" si="3"/>
        <v>8.0969590628850391E-4</v>
      </c>
      <c r="L9" s="174">
        <v>11468863.380000001</v>
      </c>
      <c r="M9" s="171">
        <f t="shared" si="4"/>
        <v>1.3968350235134932E-2</v>
      </c>
      <c r="N9" s="174">
        <v>37279.72</v>
      </c>
      <c r="O9" s="176">
        <v>150</v>
      </c>
      <c r="Q9" s="420"/>
    </row>
    <row r="10" spans="2:17" s="45" customFormat="1" ht="26.4" x14ac:dyDescent="0.3">
      <c r="B10" s="175">
        <v>5</v>
      </c>
      <c r="C10" s="173" t="s">
        <v>95</v>
      </c>
      <c r="D10" s="170">
        <v>25368.06</v>
      </c>
      <c r="E10" s="171">
        <f t="shared" si="0"/>
        <v>9.8350465548759413E-6</v>
      </c>
      <c r="F10" s="174">
        <v>2800</v>
      </c>
      <c r="G10" s="171">
        <f t="shared" si="1"/>
        <v>2.5144710503021009E-3</v>
      </c>
      <c r="H10" s="174">
        <v>22568.06</v>
      </c>
      <c r="I10" s="171">
        <f t="shared" si="2"/>
        <v>9.2438535327952497E-6</v>
      </c>
      <c r="J10" s="174">
        <v>0</v>
      </c>
      <c r="K10" s="171">
        <f t="shared" si="3"/>
        <v>0</v>
      </c>
      <c r="L10" s="174">
        <v>25368.06</v>
      </c>
      <c r="M10" s="171">
        <f t="shared" si="4"/>
        <v>3.0896692647315938E-5</v>
      </c>
      <c r="N10" s="174">
        <v>167.86</v>
      </c>
      <c r="O10" s="176">
        <v>2</v>
      </c>
      <c r="Q10" s="420"/>
    </row>
    <row r="11" spans="2:17" s="45" customFormat="1" ht="26.4" x14ac:dyDescent="0.3">
      <c r="B11" s="175">
        <v>6</v>
      </c>
      <c r="C11" s="173" t="s">
        <v>96</v>
      </c>
      <c r="D11" s="170">
        <v>115358958.14</v>
      </c>
      <c r="E11" s="171">
        <f t="shared" si="0"/>
        <v>4.4723984562827619E-2</v>
      </c>
      <c r="F11" s="174">
        <v>10000</v>
      </c>
      <c r="G11" s="171">
        <f t="shared" si="1"/>
        <v>8.9802537510789322E-3</v>
      </c>
      <c r="H11" s="174">
        <v>106848958.14</v>
      </c>
      <c r="I11" s="171">
        <f t="shared" si="2"/>
        <v>4.3765220367986024E-2</v>
      </c>
      <c r="J11" s="174">
        <v>8500000</v>
      </c>
      <c r="K11" s="171">
        <f t="shared" si="3"/>
        <v>6.2122142016371763E-2</v>
      </c>
      <c r="L11" s="174">
        <v>41337680.049999997</v>
      </c>
      <c r="M11" s="171">
        <f t="shared" si="4"/>
        <v>5.0346679850880739E-2</v>
      </c>
      <c r="N11" s="174">
        <v>27190.61</v>
      </c>
      <c r="O11" s="176">
        <v>106</v>
      </c>
      <c r="Q11" s="420"/>
    </row>
    <row r="12" spans="2:17" s="45" customFormat="1" ht="26.4" x14ac:dyDescent="0.3">
      <c r="B12" s="175">
        <v>7</v>
      </c>
      <c r="C12" s="173" t="s">
        <v>97</v>
      </c>
      <c r="D12" s="170">
        <v>16141752.1</v>
      </c>
      <c r="E12" s="171">
        <f t="shared" si="0"/>
        <v>6.25806164841799E-3</v>
      </c>
      <c r="F12" s="174">
        <v>3983</v>
      </c>
      <c r="G12" s="171">
        <f t="shared" si="1"/>
        <v>3.5768350690547389E-3</v>
      </c>
      <c r="H12" s="174">
        <v>15295735.039999999</v>
      </c>
      <c r="I12" s="171">
        <f t="shared" si="2"/>
        <v>6.2651169124064744E-3</v>
      </c>
      <c r="J12" s="174">
        <v>842034.06</v>
      </c>
      <c r="K12" s="171">
        <f t="shared" si="3"/>
        <v>6.15399523034613E-3</v>
      </c>
      <c r="L12" s="174">
        <v>9002456.0600000005</v>
      </c>
      <c r="M12" s="171">
        <f t="shared" si="4"/>
        <v>1.0964422110196319E-2</v>
      </c>
      <c r="N12" s="174">
        <v>31784.43</v>
      </c>
      <c r="O12" s="176">
        <v>152</v>
      </c>
      <c r="Q12" s="420"/>
    </row>
    <row r="13" spans="2:17" s="45" customFormat="1" ht="26.4" x14ac:dyDescent="0.3">
      <c r="B13" s="175">
        <v>8</v>
      </c>
      <c r="C13" s="173" t="s">
        <v>98</v>
      </c>
      <c r="D13" s="170">
        <v>29614980.289999999</v>
      </c>
      <c r="E13" s="171">
        <f t="shared" si="0"/>
        <v>1.1481552388077109E-2</v>
      </c>
      <c r="F13" s="174">
        <v>145206.52000000002</v>
      </c>
      <c r="G13" s="171">
        <f t="shared" si="1"/>
        <v>0.13039913959111182</v>
      </c>
      <c r="H13" s="174">
        <v>29469773.77</v>
      </c>
      <c r="I13" s="171">
        <f t="shared" si="2"/>
        <v>1.2070788201311555E-2</v>
      </c>
      <c r="J13" s="174">
        <v>0</v>
      </c>
      <c r="K13" s="171">
        <f t="shared" si="3"/>
        <v>0</v>
      </c>
      <c r="L13" s="174">
        <v>5978733.8399999999</v>
      </c>
      <c r="M13" s="171">
        <f t="shared" si="4"/>
        <v>7.2817196850916855E-3</v>
      </c>
      <c r="N13" s="174">
        <v>7489.47</v>
      </c>
      <c r="O13" s="176">
        <v>36</v>
      </c>
      <c r="Q13" s="420"/>
    </row>
    <row r="14" spans="2:17" s="45" customFormat="1" ht="26.4" x14ac:dyDescent="0.3">
      <c r="B14" s="175">
        <v>9</v>
      </c>
      <c r="C14" s="173" t="s">
        <v>129</v>
      </c>
      <c r="D14" s="170">
        <v>65588.27</v>
      </c>
      <c r="E14" s="171">
        <f t="shared" si="0"/>
        <v>2.5428183664961885E-5</v>
      </c>
      <c r="F14" s="174">
        <v>0</v>
      </c>
      <c r="G14" s="171">
        <f t="shared" si="1"/>
        <v>0</v>
      </c>
      <c r="H14" s="174">
        <v>65588.27</v>
      </c>
      <c r="I14" s="171">
        <f t="shared" si="2"/>
        <v>2.6864886097849289E-5</v>
      </c>
      <c r="J14" s="174">
        <v>0</v>
      </c>
      <c r="K14" s="171">
        <f t="shared" si="3"/>
        <v>0</v>
      </c>
      <c r="L14" s="174">
        <v>65588.27</v>
      </c>
      <c r="M14" s="171">
        <f t="shared" si="4"/>
        <v>7.9882364652999587E-5</v>
      </c>
      <c r="N14" s="174">
        <v>352.86</v>
      </c>
      <c r="O14" s="176">
        <v>1</v>
      </c>
      <c r="Q14" s="420"/>
    </row>
    <row r="15" spans="2:17" s="45" customFormat="1" ht="26.4" x14ac:dyDescent="0.3">
      <c r="B15" s="175">
        <v>10</v>
      </c>
      <c r="C15" s="173" t="s">
        <v>99</v>
      </c>
      <c r="D15" s="170">
        <v>1675867.59</v>
      </c>
      <c r="E15" s="171">
        <f t="shared" si="0"/>
        <v>6.497239350371194E-4</v>
      </c>
      <c r="F15" s="174">
        <v>0</v>
      </c>
      <c r="G15" s="171">
        <f t="shared" si="1"/>
        <v>0</v>
      </c>
      <c r="H15" s="174">
        <v>14880</v>
      </c>
      <c r="I15" s="171">
        <f t="shared" si="2"/>
        <v>6.0948322792474543E-6</v>
      </c>
      <c r="J15" s="174">
        <v>1660987.59</v>
      </c>
      <c r="K15" s="171">
        <f t="shared" si="3"/>
        <v>1.2139306700401304E-2</v>
      </c>
      <c r="L15" s="174">
        <v>1675867.59</v>
      </c>
      <c r="M15" s="171">
        <f t="shared" si="4"/>
        <v>2.0411007324102862E-3</v>
      </c>
      <c r="N15" s="174">
        <v>164972.96</v>
      </c>
      <c r="O15" s="176">
        <v>3</v>
      </c>
      <c r="Q15" s="420"/>
    </row>
    <row r="16" spans="2:17" s="45" customFormat="1" ht="26.4" x14ac:dyDescent="0.3">
      <c r="B16" s="175">
        <v>11</v>
      </c>
      <c r="C16" s="173" t="s">
        <v>100</v>
      </c>
      <c r="D16" s="170">
        <v>12109302.85</v>
      </c>
      <c r="E16" s="171">
        <f t="shared" si="0"/>
        <v>4.6947049666723395E-3</v>
      </c>
      <c r="F16" s="174">
        <v>1220.08</v>
      </c>
      <c r="G16" s="171">
        <f t="shared" si="1"/>
        <v>1.0956627996616384E-3</v>
      </c>
      <c r="H16" s="174">
        <v>11630628.610000001</v>
      </c>
      <c r="I16" s="171">
        <f t="shared" si="2"/>
        <v>4.7638931908714349E-3</v>
      </c>
      <c r="J16" s="174">
        <v>477454.16000000009</v>
      </c>
      <c r="K16" s="171">
        <f t="shared" si="3"/>
        <v>3.4894676628032342E-3</v>
      </c>
      <c r="L16" s="174">
        <v>10528936.01</v>
      </c>
      <c r="M16" s="171">
        <f t="shared" si="4"/>
        <v>1.2823578145282967E-2</v>
      </c>
      <c r="N16" s="174">
        <v>25330.39</v>
      </c>
      <c r="O16" s="176">
        <v>84</v>
      </c>
      <c r="Q16" s="420"/>
    </row>
    <row r="17" spans="2:17" s="45" customFormat="1" ht="26.4" x14ac:dyDescent="0.3">
      <c r="B17" s="175">
        <v>12</v>
      </c>
      <c r="C17" s="173" t="s">
        <v>101</v>
      </c>
      <c r="D17" s="170">
        <v>4648234.7300000004</v>
      </c>
      <c r="E17" s="171">
        <f t="shared" si="0"/>
        <v>1.8020930637794614E-3</v>
      </c>
      <c r="F17" s="174">
        <v>50628.67</v>
      </c>
      <c r="G17" s="171">
        <f t="shared" si="1"/>
        <v>4.5465830367963742E-2</v>
      </c>
      <c r="H17" s="174">
        <v>4597606.0600000005</v>
      </c>
      <c r="I17" s="171">
        <f t="shared" si="2"/>
        <v>1.8831745847951418E-3</v>
      </c>
      <c r="J17" s="174">
        <v>0</v>
      </c>
      <c r="K17" s="171">
        <f t="shared" si="3"/>
        <v>0</v>
      </c>
      <c r="L17" s="174">
        <v>3263946.98</v>
      </c>
      <c r="M17" s="171">
        <f t="shared" si="4"/>
        <v>3.9752809894881619E-3</v>
      </c>
      <c r="N17" s="174">
        <v>4349.3900000000003</v>
      </c>
      <c r="O17" s="176">
        <v>50</v>
      </c>
      <c r="Q17" s="420"/>
    </row>
    <row r="18" spans="2:17" s="45" customFormat="1" ht="26.4" x14ac:dyDescent="0.3">
      <c r="B18" s="175">
        <v>13</v>
      </c>
      <c r="C18" s="173" t="s">
        <v>102</v>
      </c>
      <c r="D18" s="170">
        <v>18531915.129999999</v>
      </c>
      <c r="E18" s="171">
        <f t="shared" si="0"/>
        <v>7.1847136933040918E-3</v>
      </c>
      <c r="F18" s="174">
        <v>0</v>
      </c>
      <c r="G18" s="171">
        <f t="shared" si="1"/>
        <v>0</v>
      </c>
      <c r="H18" s="174">
        <v>11281414.17</v>
      </c>
      <c r="I18" s="171">
        <f t="shared" si="2"/>
        <v>4.6208553251932544E-3</v>
      </c>
      <c r="J18" s="174">
        <v>7250500.96</v>
      </c>
      <c r="K18" s="171">
        <f t="shared" si="3"/>
        <v>5.2990194156112919E-2</v>
      </c>
      <c r="L18" s="174">
        <v>14712554.84</v>
      </c>
      <c r="M18" s="171">
        <f t="shared" si="4"/>
        <v>1.7918961282347191E-2</v>
      </c>
      <c r="N18" s="174">
        <v>16747.759999999998</v>
      </c>
      <c r="O18" s="176">
        <v>19</v>
      </c>
      <c r="Q18" s="420"/>
    </row>
    <row r="19" spans="2:17" s="45" customFormat="1" ht="26.4" x14ac:dyDescent="0.3">
      <c r="B19" s="175">
        <v>14</v>
      </c>
      <c r="C19" s="173" t="s">
        <v>103</v>
      </c>
      <c r="D19" s="170">
        <v>91276249.620000005</v>
      </c>
      <c r="E19" s="171">
        <f t="shared" si="0"/>
        <v>3.5387261160970823E-2</v>
      </c>
      <c r="F19" s="174">
        <v>0</v>
      </c>
      <c r="G19" s="171">
        <f t="shared" si="1"/>
        <v>0</v>
      </c>
      <c r="H19" s="174">
        <v>90576249.61999999</v>
      </c>
      <c r="I19" s="171">
        <f t="shared" si="2"/>
        <v>3.7099936150346159E-2</v>
      </c>
      <c r="J19" s="174">
        <v>700000</v>
      </c>
      <c r="K19" s="171">
        <f t="shared" si="3"/>
        <v>5.1159411072306156E-3</v>
      </c>
      <c r="L19" s="174">
        <v>34072610.259999998</v>
      </c>
      <c r="M19" s="171">
        <f t="shared" si="4"/>
        <v>4.1498284334513698E-2</v>
      </c>
      <c r="N19" s="174">
        <v>45486.27</v>
      </c>
      <c r="O19" s="176">
        <v>48</v>
      </c>
      <c r="Q19" s="420"/>
    </row>
    <row r="20" spans="2:17" s="45" customFormat="1" ht="26.4" x14ac:dyDescent="0.3">
      <c r="B20" s="175">
        <v>15</v>
      </c>
      <c r="C20" s="173" t="s">
        <v>104</v>
      </c>
      <c r="D20" s="170">
        <v>54207861.479999997</v>
      </c>
      <c r="E20" s="171">
        <f t="shared" si="0"/>
        <v>2.1016066711292317E-2</v>
      </c>
      <c r="F20" s="174">
        <v>15505.68</v>
      </c>
      <c r="G20" s="171">
        <f t="shared" si="1"/>
        <v>1.3924494098302959E-2</v>
      </c>
      <c r="H20" s="174">
        <v>54168451.260000005</v>
      </c>
      <c r="I20" s="171">
        <f t="shared" si="2"/>
        <v>2.2187340407008767E-2</v>
      </c>
      <c r="J20" s="174">
        <v>23904.54</v>
      </c>
      <c r="K20" s="171">
        <f t="shared" si="3"/>
        <v>1.7470602690776937E-4</v>
      </c>
      <c r="L20" s="174">
        <v>16394122.99</v>
      </c>
      <c r="M20" s="171">
        <f t="shared" si="4"/>
        <v>1.9967004936298882E-2</v>
      </c>
      <c r="N20" s="174">
        <v>17331.650000000001</v>
      </c>
      <c r="O20" s="176">
        <v>129</v>
      </c>
      <c r="Q20" s="420"/>
    </row>
    <row r="21" spans="2:17" s="45" customFormat="1" ht="26.4" x14ac:dyDescent="0.3">
      <c r="B21" s="175">
        <v>16</v>
      </c>
      <c r="C21" s="173" t="s">
        <v>105</v>
      </c>
      <c r="D21" s="170">
        <v>12426.45</v>
      </c>
      <c r="E21" s="171">
        <f t="shared" si="0"/>
        <v>4.8176610376133667E-6</v>
      </c>
      <c r="F21" s="174">
        <v>12426.45</v>
      </c>
      <c r="G21" s="171">
        <f t="shared" si="1"/>
        <v>1.1159267422509481E-2</v>
      </c>
      <c r="H21" s="174">
        <v>0</v>
      </c>
      <c r="I21" s="171">
        <f t="shared" si="2"/>
        <v>0</v>
      </c>
      <c r="J21" s="174">
        <v>0</v>
      </c>
      <c r="K21" s="171">
        <f t="shared" si="3"/>
        <v>0</v>
      </c>
      <c r="L21" s="174">
        <v>12426.45</v>
      </c>
      <c r="M21" s="171">
        <f t="shared" si="4"/>
        <v>1.5134630174606934E-5</v>
      </c>
      <c r="N21" s="174">
        <v>112.91</v>
      </c>
      <c r="O21" s="176">
        <v>4</v>
      </c>
      <c r="Q21" s="420"/>
    </row>
    <row r="22" spans="2:17" s="45" customFormat="1" ht="26.4" x14ac:dyDescent="0.3">
      <c r="B22" s="175">
        <v>17</v>
      </c>
      <c r="C22" s="173" t="s">
        <v>106</v>
      </c>
      <c r="D22" s="170">
        <v>31977749.149999999</v>
      </c>
      <c r="E22" s="171">
        <f t="shared" si="0"/>
        <v>1.2397583875566146E-2</v>
      </c>
      <c r="F22" s="174">
        <v>18736.980000000003</v>
      </c>
      <c r="G22" s="171">
        <f t="shared" si="1"/>
        <v>1.6826283492889095E-2</v>
      </c>
      <c r="H22" s="174">
        <v>31769835.110000003</v>
      </c>
      <c r="I22" s="171">
        <f t="shared" si="2"/>
        <v>1.301289089615572E-2</v>
      </c>
      <c r="J22" s="174">
        <v>189177.06</v>
      </c>
      <c r="K22" s="171">
        <f t="shared" si="3"/>
        <v>1.3825981397129036E-3</v>
      </c>
      <c r="L22" s="174">
        <v>16479329.83</v>
      </c>
      <c r="M22" s="171">
        <f t="shared" si="4"/>
        <v>2.0070781478412431E-2</v>
      </c>
      <c r="N22" s="174">
        <v>31352.54</v>
      </c>
      <c r="O22" s="176">
        <v>81</v>
      </c>
      <c r="Q22" s="420"/>
    </row>
    <row r="23" spans="2:17" s="45" customFormat="1" ht="26.4" x14ac:dyDescent="0.3">
      <c r="B23" s="175">
        <v>18</v>
      </c>
      <c r="C23" s="173" t="s">
        <v>107</v>
      </c>
      <c r="D23" s="170">
        <v>3945938.44</v>
      </c>
      <c r="E23" s="171">
        <f t="shared" si="0"/>
        <v>1.529816953289867E-3</v>
      </c>
      <c r="F23" s="174">
        <v>17463.599999999999</v>
      </c>
      <c r="G23" s="171">
        <f t="shared" si="1"/>
        <v>1.5682755940734202E-2</v>
      </c>
      <c r="H23" s="174">
        <v>3928474.84</v>
      </c>
      <c r="I23" s="171">
        <f t="shared" si="2"/>
        <v>1.6090991440217391E-3</v>
      </c>
      <c r="J23" s="174">
        <v>0</v>
      </c>
      <c r="K23" s="171">
        <f t="shared" si="3"/>
        <v>0</v>
      </c>
      <c r="L23" s="174">
        <v>2623985.66</v>
      </c>
      <c r="M23" s="171">
        <f t="shared" si="4"/>
        <v>3.1958485768318295E-3</v>
      </c>
      <c r="N23" s="174">
        <v>8718.92</v>
      </c>
      <c r="O23" s="176">
        <v>64</v>
      </c>
      <c r="Q23" s="420"/>
    </row>
    <row r="24" spans="2:17" s="45" customFormat="1" ht="26.4" x14ac:dyDescent="0.3">
      <c r="B24" s="175">
        <v>19</v>
      </c>
      <c r="C24" s="173" t="s">
        <v>108</v>
      </c>
      <c r="D24" s="170">
        <v>281353766.00999999</v>
      </c>
      <c r="E24" s="171">
        <f t="shared" si="0"/>
        <v>0.10907918804583487</v>
      </c>
      <c r="F24" s="174">
        <v>0</v>
      </c>
      <c r="G24" s="171">
        <f t="shared" si="1"/>
        <v>0</v>
      </c>
      <c r="H24" s="174">
        <v>274827436.69000006</v>
      </c>
      <c r="I24" s="171">
        <f t="shared" si="2"/>
        <v>0.11256902771243606</v>
      </c>
      <c r="J24" s="174">
        <v>6526329.3200000003</v>
      </c>
      <c r="K24" s="171">
        <f t="shared" si="3"/>
        <v>4.769759492501776E-2</v>
      </c>
      <c r="L24" s="174">
        <v>59531597.82</v>
      </c>
      <c r="M24" s="171">
        <f t="shared" si="4"/>
        <v>7.2505720999089543E-2</v>
      </c>
      <c r="N24" s="174">
        <v>30336.76</v>
      </c>
      <c r="O24" s="176">
        <v>107</v>
      </c>
      <c r="Q24" s="420"/>
    </row>
    <row r="25" spans="2:17" s="45" customFormat="1" ht="26.4" x14ac:dyDescent="0.3">
      <c r="B25" s="175">
        <v>20</v>
      </c>
      <c r="C25" s="173" t="s">
        <v>109</v>
      </c>
      <c r="D25" s="170">
        <v>149756530.77000001</v>
      </c>
      <c r="E25" s="171">
        <f t="shared" si="0"/>
        <v>5.8059719664005104E-2</v>
      </c>
      <c r="F25" s="174">
        <v>56277.07</v>
      </c>
      <c r="G25" s="171">
        <f t="shared" si="1"/>
        <v>5.0538236896723168E-2</v>
      </c>
      <c r="H25" s="174">
        <v>122687132.50000003</v>
      </c>
      <c r="I25" s="171">
        <f t="shared" si="2"/>
        <v>5.0252519852776178E-2</v>
      </c>
      <c r="J25" s="174">
        <v>27013121.200000003</v>
      </c>
      <c r="K25" s="171">
        <f t="shared" si="3"/>
        <v>0.19742505311668976</v>
      </c>
      <c r="L25" s="174">
        <v>55112537.460000001</v>
      </c>
      <c r="M25" s="171">
        <f t="shared" si="4"/>
        <v>6.7123584969260811E-2</v>
      </c>
      <c r="N25" s="174">
        <v>39947.46</v>
      </c>
      <c r="O25" s="176">
        <v>281</v>
      </c>
      <c r="Q25" s="420"/>
    </row>
    <row r="26" spans="2:17" s="45" customFormat="1" ht="26.4" x14ac:dyDescent="0.3">
      <c r="B26" s="175">
        <v>21</v>
      </c>
      <c r="C26" s="173" t="s">
        <v>110</v>
      </c>
      <c r="D26" s="170">
        <v>175541.87</v>
      </c>
      <c r="E26" s="171">
        <f t="shared" si="0"/>
        <v>6.8056542903950095E-5</v>
      </c>
      <c r="F26" s="174">
        <v>6572.55</v>
      </c>
      <c r="G26" s="171">
        <f t="shared" si="1"/>
        <v>5.902316679165384E-3</v>
      </c>
      <c r="H26" s="174">
        <v>168969.31999999998</v>
      </c>
      <c r="I26" s="171">
        <f t="shared" si="2"/>
        <v>6.9209654955543841E-5</v>
      </c>
      <c r="J26" s="174">
        <v>0</v>
      </c>
      <c r="K26" s="171">
        <f t="shared" si="3"/>
        <v>0</v>
      </c>
      <c r="L26" s="174">
        <v>80697.53</v>
      </c>
      <c r="M26" s="171">
        <f t="shared" si="4"/>
        <v>9.8284487730144029E-5</v>
      </c>
      <c r="N26" s="174">
        <v>1045.48</v>
      </c>
      <c r="O26" s="176">
        <v>20</v>
      </c>
      <c r="Q26" s="420"/>
    </row>
    <row r="27" spans="2:17" s="45" customFormat="1" ht="26.4" x14ac:dyDescent="0.3">
      <c r="B27" s="175">
        <v>22</v>
      </c>
      <c r="C27" s="173" t="s">
        <v>111</v>
      </c>
      <c r="D27" s="170">
        <v>88553553.549999997</v>
      </c>
      <c r="E27" s="171">
        <f t="shared" si="0"/>
        <v>3.4331688026752918E-2</v>
      </c>
      <c r="F27" s="174">
        <v>44097.85</v>
      </c>
      <c r="G27" s="171">
        <f t="shared" si="1"/>
        <v>3.9600988287701609E-2</v>
      </c>
      <c r="H27" s="174">
        <v>86671322.160000026</v>
      </c>
      <c r="I27" s="171">
        <f t="shared" si="2"/>
        <v>3.5500481988294579E-2</v>
      </c>
      <c r="J27" s="174">
        <v>1838133.5399999998</v>
      </c>
      <c r="K27" s="171">
        <f t="shared" si="3"/>
        <v>1.3433975625521901E-2</v>
      </c>
      <c r="L27" s="174">
        <v>33969435.770000003</v>
      </c>
      <c r="M27" s="171">
        <f t="shared" si="4"/>
        <v>4.1372624331085239E-2</v>
      </c>
      <c r="N27" s="174">
        <v>12245.15</v>
      </c>
      <c r="O27" s="176">
        <v>65</v>
      </c>
      <c r="Q27" s="420"/>
    </row>
    <row r="28" spans="2:17" s="45" customFormat="1" ht="26.4" x14ac:dyDescent="0.3">
      <c r="B28" s="175">
        <v>23</v>
      </c>
      <c r="C28" s="173" t="s">
        <v>112</v>
      </c>
      <c r="D28" s="170">
        <v>2919909.45</v>
      </c>
      <c r="E28" s="171">
        <f t="shared" si="0"/>
        <v>1.1320315931439852E-3</v>
      </c>
      <c r="F28" s="174">
        <v>342519.07</v>
      </c>
      <c r="G28" s="171">
        <f t="shared" si="1"/>
        <v>0.30759081631835677</v>
      </c>
      <c r="H28" s="174">
        <v>1811018.4900000002</v>
      </c>
      <c r="I28" s="171">
        <f t="shared" si="2"/>
        <v>7.4179126015900426E-4</v>
      </c>
      <c r="J28" s="174">
        <v>766371.8899999999</v>
      </c>
      <c r="K28" s="171">
        <f t="shared" si="3"/>
        <v>5.601019222110027E-3</v>
      </c>
      <c r="L28" s="174">
        <v>2919909.45</v>
      </c>
      <c r="M28" s="171">
        <f t="shared" si="4"/>
        <v>3.556265037004932E-3</v>
      </c>
      <c r="N28" s="174">
        <v>23091.77</v>
      </c>
      <c r="O28" s="176">
        <v>221</v>
      </c>
      <c r="Q28" s="420"/>
    </row>
    <row r="29" spans="2:17" s="45" customFormat="1" ht="26.4" x14ac:dyDescent="0.3">
      <c r="B29" s="175">
        <v>24</v>
      </c>
      <c r="C29" s="173" t="s">
        <v>113</v>
      </c>
      <c r="D29" s="170">
        <v>612258467.86000001</v>
      </c>
      <c r="E29" s="171">
        <f t="shared" si="0"/>
        <v>0.23736898032486972</v>
      </c>
      <c r="F29" s="174">
        <v>114937.56</v>
      </c>
      <c r="G29" s="171">
        <f t="shared" si="1"/>
        <v>0.10321684543298598</v>
      </c>
      <c r="H29" s="174">
        <v>560394805.82000005</v>
      </c>
      <c r="I29" s="171">
        <f t="shared" si="2"/>
        <v>0.22953712040553395</v>
      </c>
      <c r="J29" s="174">
        <v>51748724.479999982</v>
      </c>
      <c r="K29" s="171">
        <f t="shared" si="3"/>
        <v>0.37820489544854741</v>
      </c>
      <c r="L29" s="174">
        <v>229900410.37</v>
      </c>
      <c r="M29" s="171">
        <f t="shared" si="4"/>
        <v>0.28000415950978103</v>
      </c>
      <c r="N29" s="174">
        <v>120616.48</v>
      </c>
      <c r="O29" s="176">
        <v>572</v>
      </c>
      <c r="Q29" s="420"/>
    </row>
    <row r="30" spans="2:17" s="45" customFormat="1" ht="26.4" x14ac:dyDescent="0.3">
      <c r="B30" s="175">
        <v>25</v>
      </c>
      <c r="C30" s="173" t="s">
        <v>114</v>
      </c>
      <c r="D30" s="170">
        <v>26976596.170000002</v>
      </c>
      <c r="E30" s="171">
        <f t="shared" si="0"/>
        <v>1.0458666497321356E-2</v>
      </c>
      <c r="F30" s="174">
        <v>0</v>
      </c>
      <c r="G30" s="171">
        <f t="shared" si="1"/>
        <v>0</v>
      </c>
      <c r="H30" s="174">
        <v>23386087.910000004</v>
      </c>
      <c r="I30" s="171">
        <f t="shared" si="2"/>
        <v>9.5789169004829745E-3</v>
      </c>
      <c r="J30" s="174">
        <v>3590508.26</v>
      </c>
      <c r="K30" s="171">
        <f t="shared" si="3"/>
        <v>2.6241184004550101E-2</v>
      </c>
      <c r="L30" s="174">
        <v>12916390.34</v>
      </c>
      <c r="M30" s="171">
        <f t="shared" si="4"/>
        <v>1.5731346521875959E-2</v>
      </c>
      <c r="N30" s="174">
        <v>130888.87</v>
      </c>
      <c r="O30" s="176">
        <v>40</v>
      </c>
      <c r="Q30" s="420"/>
    </row>
    <row r="31" spans="2:17" s="45" customFormat="1" ht="26.4" x14ac:dyDescent="0.3">
      <c r="B31" s="175">
        <v>26</v>
      </c>
      <c r="C31" s="173" t="s">
        <v>115</v>
      </c>
      <c r="D31" s="170">
        <v>770527.51</v>
      </c>
      <c r="E31" s="171">
        <f t="shared" si="0"/>
        <v>2.9872895020993472E-4</v>
      </c>
      <c r="F31" s="174">
        <v>18960</v>
      </c>
      <c r="G31" s="171">
        <f t="shared" si="1"/>
        <v>1.7026561112045657E-2</v>
      </c>
      <c r="H31" s="174">
        <v>751567.51</v>
      </c>
      <c r="I31" s="171">
        <f t="shared" si="2"/>
        <v>3.0784125806328184E-4</v>
      </c>
      <c r="J31" s="174">
        <v>0</v>
      </c>
      <c r="K31" s="171">
        <f t="shared" si="3"/>
        <v>0</v>
      </c>
      <c r="L31" s="174">
        <v>767454.06</v>
      </c>
      <c r="M31" s="171">
        <f t="shared" si="4"/>
        <v>9.3471050654857983E-4</v>
      </c>
      <c r="N31" s="174">
        <v>2123.5300000000002</v>
      </c>
      <c r="O31" s="176">
        <v>8</v>
      </c>
      <c r="Q31" s="420"/>
    </row>
    <row r="32" spans="2:17" s="45" customFormat="1" ht="26.4" x14ac:dyDescent="0.3">
      <c r="B32" s="175">
        <v>27</v>
      </c>
      <c r="C32" s="169" t="s">
        <v>116</v>
      </c>
      <c r="D32" s="170">
        <v>6612526.6799999997</v>
      </c>
      <c r="E32" s="171">
        <f t="shared" si="0"/>
        <v>2.5636374142586874E-3</v>
      </c>
      <c r="F32" s="170">
        <v>0</v>
      </c>
      <c r="G32" s="171">
        <f t="shared" si="1"/>
        <v>0</v>
      </c>
      <c r="H32" s="170">
        <v>5921614.2199999997</v>
      </c>
      <c r="I32" s="171">
        <f t="shared" si="2"/>
        <v>2.4254869283136245E-3</v>
      </c>
      <c r="J32" s="170">
        <v>690912.46</v>
      </c>
      <c r="K32" s="171">
        <f t="shared" si="3"/>
        <v>5.0495249365883265E-3</v>
      </c>
      <c r="L32" s="170">
        <v>4732197.91</v>
      </c>
      <c r="M32" s="171">
        <f t="shared" si="4"/>
        <v>5.7635177609774201E-3</v>
      </c>
      <c r="N32" s="170">
        <v>1498.92</v>
      </c>
      <c r="O32" s="172">
        <v>19</v>
      </c>
      <c r="Q32" s="420"/>
    </row>
    <row r="33" spans="2:17" s="45" customFormat="1" ht="20.25" customHeight="1" x14ac:dyDescent="0.3">
      <c r="B33" s="185"/>
      <c r="C33" s="186"/>
      <c r="D33" s="187"/>
      <c r="E33" s="188"/>
      <c r="F33" s="187"/>
      <c r="G33" s="188"/>
      <c r="H33" s="187"/>
      <c r="I33" s="188"/>
      <c r="J33" s="187"/>
      <c r="K33" s="188"/>
      <c r="L33" s="187"/>
      <c r="M33" s="188"/>
      <c r="N33" s="189"/>
      <c r="O33" s="190"/>
      <c r="Q33" s="420"/>
    </row>
    <row r="34" spans="2:17" s="55" customFormat="1" ht="31.8" x14ac:dyDescent="0.3">
      <c r="B34" s="191" t="s">
        <v>117</v>
      </c>
      <c r="C34" s="192"/>
      <c r="D34" s="193">
        <f>SUM(D6:D33)</f>
        <v>1626918570.5900002</v>
      </c>
      <c r="E34" s="194">
        <f t="shared" si="0"/>
        <v>0.63074669023744312</v>
      </c>
      <c r="F34" s="193">
        <f>SUM(F6:F32)</f>
        <v>1113554.28</v>
      </c>
      <c r="G34" s="194">
        <f t="shared" si="1"/>
        <v>1</v>
      </c>
      <c r="H34" s="193">
        <f>SUM(H6:H32)</f>
        <v>1492534094.5700004</v>
      </c>
      <c r="I34" s="194">
        <f t="shared" si="2"/>
        <v>0.61134038827033677</v>
      </c>
      <c r="J34" s="193">
        <f>SUM(J6:J32)</f>
        <v>133270921.74000001</v>
      </c>
      <c r="K34" s="194">
        <f t="shared" si="3"/>
        <v>0.97400883846882913</v>
      </c>
      <c r="L34" s="193">
        <f>SUM(L6:L32)</f>
        <v>607498203.54999995</v>
      </c>
      <c r="M34" s="194">
        <f t="shared" si="4"/>
        <v>0.73989438998807655</v>
      </c>
      <c r="N34" s="193">
        <f>SUM(N6:N32)</f>
        <v>1000531.6600000001</v>
      </c>
      <c r="O34" s="195">
        <f>SUM(O6:O33)</f>
        <v>2875</v>
      </c>
      <c r="Q34" s="420"/>
    </row>
    <row r="35" spans="2:17" ht="26.4" x14ac:dyDescent="0.3">
      <c r="B35" s="166"/>
      <c r="C35" s="166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7"/>
      <c r="Q35" s="420"/>
    </row>
    <row r="36" spans="2:17" ht="26.4" x14ac:dyDescent="0.3">
      <c r="B36" s="454" t="s">
        <v>118</v>
      </c>
      <c r="C36" s="454"/>
      <c r="D36" s="455" t="s">
        <v>80</v>
      </c>
      <c r="E36" s="455" t="s">
        <v>81</v>
      </c>
      <c r="F36" s="455" t="s">
        <v>82</v>
      </c>
      <c r="G36" s="455" t="s">
        <v>81</v>
      </c>
      <c r="H36" s="455" t="s">
        <v>83</v>
      </c>
      <c r="I36" s="455" t="s">
        <v>81</v>
      </c>
      <c r="J36" s="455" t="s">
        <v>84</v>
      </c>
      <c r="K36" s="455" t="s">
        <v>81</v>
      </c>
      <c r="L36" s="455" t="s">
        <v>85</v>
      </c>
      <c r="M36" s="455" t="s">
        <v>81</v>
      </c>
      <c r="N36" s="455" t="s">
        <v>86</v>
      </c>
      <c r="O36" s="455" t="s">
        <v>87</v>
      </c>
      <c r="Q36" s="420"/>
    </row>
    <row r="37" spans="2:17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88</v>
      </c>
      <c r="M37" s="455"/>
      <c r="N37" s="455" t="s">
        <v>89</v>
      </c>
      <c r="O37" s="455" t="s">
        <v>90</v>
      </c>
      <c r="Q37" s="420"/>
    </row>
    <row r="38" spans="2:17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  <c r="Q38" s="420"/>
    </row>
    <row r="39" spans="2:17" s="45" customFormat="1" ht="26.4" x14ac:dyDescent="0.3">
      <c r="B39" s="168">
        <v>1</v>
      </c>
      <c r="C39" s="169" t="s">
        <v>130</v>
      </c>
      <c r="D39" s="170">
        <v>0</v>
      </c>
      <c r="E39" s="171">
        <f t="shared" ref="E39:E45" si="5">D39/$D$53</f>
        <v>0</v>
      </c>
      <c r="F39" s="170">
        <v>0</v>
      </c>
      <c r="G39" s="171">
        <f t="shared" ref="G39:G45" si="6">F39/$F$53</f>
        <v>0</v>
      </c>
      <c r="H39" s="170">
        <v>0</v>
      </c>
      <c r="I39" s="171">
        <f t="shared" ref="I39:I45" si="7">H39/$H$53</f>
        <v>0</v>
      </c>
      <c r="J39" s="170">
        <v>0</v>
      </c>
      <c r="K39" s="171">
        <f t="shared" ref="K39:K45" si="8">J39/$J$53</f>
        <v>0</v>
      </c>
      <c r="L39" s="170">
        <v>0</v>
      </c>
      <c r="M39" s="171">
        <f t="shared" ref="M39:M45" si="9">L39/$L$53</f>
        <v>0</v>
      </c>
      <c r="N39" s="170">
        <v>0</v>
      </c>
      <c r="O39" s="172">
        <v>17</v>
      </c>
      <c r="Q39" s="420"/>
    </row>
    <row r="40" spans="2:17" s="45" customFormat="1" ht="26.4" x14ac:dyDescent="0.3">
      <c r="B40" s="168">
        <v>2</v>
      </c>
      <c r="C40" s="169" t="s">
        <v>119</v>
      </c>
      <c r="D40" s="170">
        <v>87280000</v>
      </c>
      <c r="E40" s="171">
        <f t="shared" si="5"/>
        <v>3.3837938861291404E-2</v>
      </c>
      <c r="F40" s="170">
        <v>0</v>
      </c>
      <c r="G40" s="171">
        <f t="shared" si="6"/>
        <v>0</v>
      </c>
      <c r="H40" s="170">
        <v>87280000</v>
      </c>
      <c r="I40" s="171">
        <f t="shared" si="7"/>
        <v>3.5749795788489101E-2</v>
      </c>
      <c r="J40" s="170">
        <v>0</v>
      </c>
      <c r="K40" s="171">
        <f t="shared" si="8"/>
        <v>0</v>
      </c>
      <c r="L40" s="170">
        <v>11869589.02</v>
      </c>
      <c r="M40" s="171">
        <f t="shared" si="9"/>
        <v>1.445640872029221E-2</v>
      </c>
      <c r="N40" s="170">
        <v>0</v>
      </c>
      <c r="O40" s="172">
        <v>38</v>
      </c>
      <c r="Q40" s="420"/>
    </row>
    <row r="41" spans="2:17" s="45" customFormat="1" ht="26.4" x14ac:dyDescent="0.3">
      <c r="B41" s="175">
        <v>3</v>
      </c>
      <c r="C41" s="173" t="s">
        <v>120</v>
      </c>
      <c r="D41" s="170">
        <v>94794430.730000004</v>
      </c>
      <c r="E41" s="171">
        <f t="shared" si="5"/>
        <v>3.6751239131904943E-2</v>
      </c>
      <c r="F41" s="174">
        <v>0</v>
      </c>
      <c r="G41" s="171">
        <f t="shared" si="6"/>
        <v>0</v>
      </c>
      <c r="H41" s="174">
        <v>93360000</v>
      </c>
      <c r="I41" s="171">
        <f t="shared" si="7"/>
        <v>3.8240157364955799E-2</v>
      </c>
      <c r="J41" s="174">
        <v>1434430.7300000002</v>
      </c>
      <c r="K41" s="171">
        <f t="shared" si="8"/>
        <v>1.0483518767259744E-2</v>
      </c>
      <c r="L41" s="174">
        <v>30315129.34</v>
      </c>
      <c r="M41" s="171">
        <f t="shared" si="9"/>
        <v>3.6921910220237955E-2</v>
      </c>
      <c r="N41" s="174">
        <v>0</v>
      </c>
      <c r="O41" s="176">
        <v>33</v>
      </c>
      <c r="Q41" s="420"/>
    </row>
    <row r="42" spans="2:17" s="45" customFormat="1" ht="26.4" x14ac:dyDescent="0.3">
      <c r="B42" s="168">
        <v>4</v>
      </c>
      <c r="C42" s="173" t="s">
        <v>121</v>
      </c>
      <c r="D42" s="170">
        <v>53710905.369999997</v>
      </c>
      <c r="E42" s="171">
        <f t="shared" si="5"/>
        <v>2.082339977193708E-2</v>
      </c>
      <c r="F42" s="174">
        <v>0</v>
      </c>
      <c r="G42" s="171">
        <f t="shared" si="6"/>
        <v>0</v>
      </c>
      <c r="H42" s="174">
        <v>52225905.369999997</v>
      </c>
      <c r="I42" s="171">
        <f t="shared" si="7"/>
        <v>2.1391675662768745E-2</v>
      </c>
      <c r="J42" s="174">
        <v>1485000</v>
      </c>
      <c r="K42" s="171">
        <f t="shared" si="8"/>
        <v>1.0853103634624949E-2</v>
      </c>
      <c r="L42" s="174">
        <v>14614805.130000001</v>
      </c>
      <c r="M42" s="171">
        <f t="shared" si="9"/>
        <v>1.7799908317862156E-2</v>
      </c>
      <c r="N42" s="174">
        <v>0</v>
      </c>
      <c r="O42" s="176">
        <v>49</v>
      </c>
      <c r="Q42" s="420"/>
    </row>
    <row r="43" spans="2:17" s="45" customFormat="1" ht="26.4" x14ac:dyDescent="0.3">
      <c r="B43" s="175">
        <v>5</v>
      </c>
      <c r="C43" s="173" t="s">
        <v>122</v>
      </c>
      <c r="D43" s="170">
        <v>390595000</v>
      </c>
      <c r="E43" s="171">
        <f t="shared" si="5"/>
        <v>0.15143136720355313</v>
      </c>
      <c r="F43" s="174">
        <v>0</v>
      </c>
      <c r="G43" s="171">
        <f t="shared" si="6"/>
        <v>0</v>
      </c>
      <c r="H43" s="174">
        <v>390395000</v>
      </c>
      <c r="I43" s="171">
        <f t="shared" si="7"/>
        <v>0.15990537954682862</v>
      </c>
      <c r="J43" s="174">
        <v>200000</v>
      </c>
      <c r="K43" s="171">
        <f t="shared" si="8"/>
        <v>1.4616974592087473E-3</v>
      </c>
      <c r="L43" s="174">
        <v>123467520.55</v>
      </c>
      <c r="M43" s="171">
        <f t="shared" si="9"/>
        <v>0.15037563118186864</v>
      </c>
      <c r="N43" s="174">
        <v>0</v>
      </c>
      <c r="O43" s="176">
        <v>4</v>
      </c>
      <c r="Q43" s="420"/>
    </row>
    <row r="44" spans="2:17" s="45" customFormat="1" ht="26.4" x14ac:dyDescent="0.3">
      <c r="B44" s="168">
        <v>6</v>
      </c>
      <c r="C44" s="173" t="s">
        <v>123</v>
      </c>
      <c r="D44" s="170">
        <v>9250000</v>
      </c>
      <c r="E44" s="171">
        <f t="shared" si="5"/>
        <v>3.58617019325098E-3</v>
      </c>
      <c r="F44" s="174">
        <v>0</v>
      </c>
      <c r="G44" s="171">
        <f t="shared" si="6"/>
        <v>0</v>
      </c>
      <c r="H44" s="174">
        <v>9250000</v>
      </c>
      <c r="I44" s="171">
        <f t="shared" si="7"/>
        <v>3.788790227354768E-3</v>
      </c>
      <c r="J44" s="174">
        <v>0</v>
      </c>
      <c r="K44" s="171">
        <f t="shared" si="8"/>
        <v>0</v>
      </c>
      <c r="L44" s="174">
        <v>785616.44</v>
      </c>
      <c r="M44" s="171">
        <f t="shared" si="9"/>
        <v>9.5683113668757174E-4</v>
      </c>
      <c r="N44" s="174">
        <v>0</v>
      </c>
      <c r="O44" s="176">
        <v>56</v>
      </c>
      <c r="Q44" s="420"/>
    </row>
    <row r="45" spans="2:17" s="45" customFormat="1" ht="26.4" x14ac:dyDescent="0.3">
      <c r="B45" s="175">
        <v>7</v>
      </c>
      <c r="C45" s="173" t="s">
        <v>124</v>
      </c>
      <c r="D45" s="170">
        <v>316804414.97000003</v>
      </c>
      <c r="E45" s="171">
        <f t="shared" si="5"/>
        <v>0.1228231946006193</v>
      </c>
      <c r="F45" s="174">
        <v>0</v>
      </c>
      <c r="G45" s="171">
        <f t="shared" si="6"/>
        <v>0</v>
      </c>
      <c r="H45" s="174">
        <v>316367547.31999999</v>
      </c>
      <c r="I45" s="171">
        <f t="shared" si="7"/>
        <v>0.12958381313926629</v>
      </c>
      <c r="J45" s="174">
        <v>436867.65</v>
      </c>
      <c r="K45" s="171">
        <f t="shared" si="8"/>
        <v>3.1928416700774819E-3</v>
      </c>
      <c r="L45" s="174">
        <v>32509832.969999999</v>
      </c>
      <c r="M45" s="171">
        <f t="shared" si="9"/>
        <v>3.9594920434974853E-2</v>
      </c>
      <c r="N45" s="174">
        <v>0</v>
      </c>
      <c r="O45" s="176"/>
      <c r="Q45" s="420"/>
    </row>
    <row r="46" spans="2:17" ht="26.4" x14ac:dyDescent="0.3">
      <c r="B46" s="177"/>
      <c r="C46" s="177"/>
      <c r="D46" s="178"/>
      <c r="E46" s="179"/>
      <c r="F46" s="178"/>
      <c r="G46" s="179"/>
      <c r="H46" s="178"/>
      <c r="I46" s="179"/>
      <c r="J46" s="178"/>
      <c r="K46" s="179"/>
      <c r="L46" s="178"/>
      <c r="M46" s="179" t="s">
        <v>125</v>
      </c>
      <c r="N46" s="178"/>
      <c r="O46" s="180"/>
      <c r="Q46" s="420"/>
    </row>
    <row r="47" spans="2:17" s="55" customFormat="1" ht="31.8" x14ac:dyDescent="0.3">
      <c r="B47" s="191" t="s">
        <v>126</v>
      </c>
      <c r="C47" s="192"/>
      <c r="D47" s="193">
        <f>SUM(D39:D46)</f>
        <v>952434751.07000005</v>
      </c>
      <c r="E47" s="194">
        <f t="shared" ref="E47" si="10">D47/$D$53</f>
        <v>0.36925330976255688</v>
      </c>
      <c r="F47" s="193">
        <f>SUM(F39:F45)</f>
        <v>0</v>
      </c>
      <c r="G47" s="194">
        <f t="shared" ref="G47" si="11">F47/$F$53</f>
        <v>0</v>
      </c>
      <c r="H47" s="193">
        <f>SUM(H39:H45)</f>
        <v>948878452.69000006</v>
      </c>
      <c r="I47" s="194">
        <f t="shared" ref="I47" si="12">H47/$H$53</f>
        <v>0.38865961172966335</v>
      </c>
      <c r="J47" s="193">
        <f>SUM(J39:J45)</f>
        <v>3556298.3800000004</v>
      </c>
      <c r="K47" s="194">
        <f t="shared" ref="K47" si="13">J47/$J$53</f>
        <v>2.5991161531170925E-2</v>
      </c>
      <c r="L47" s="193">
        <f>SUM(L39:L45)</f>
        <v>213562493.44999999</v>
      </c>
      <c r="M47" s="194">
        <f t="shared" ref="M47" si="14">L47/$L$53</f>
        <v>0.26010561001192339</v>
      </c>
      <c r="N47" s="193">
        <f>SUM(N39:N45)</f>
        <v>0</v>
      </c>
      <c r="O47" s="195">
        <f>SUM(O39:O45)</f>
        <v>197</v>
      </c>
      <c r="Q47" s="420"/>
    </row>
    <row r="48" spans="2:17" ht="26.4" hidden="1" x14ac:dyDescent="0.3">
      <c r="B48" s="181"/>
      <c r="C48" s="181"/>
      <c r="D48" s="182"/>
      <c r="E48" s="183"/>
      <c r="F48" s="182"/>
      <c r="G48" s="183"/>
      <c r="H48" s="182"/>
      <c r="I48" s="183"/>
      <c r="J48" s="182"/>
      <c r="K48" s="183"/>
      <c r="L48" s="182"/>
      <c r="M48" s="183"/>
      <c r="N48" s="182"/>
      <c r="O48" s="184"/>
      <c r="Q48" s="420"/>
    </row>
    <row r="49" spans="2:17" ht="26.4" hidden="1" x14ac:dyDescent="0.3">
      <c r="B49" s="181"/>
      <c r="C49" s="181"/>
      <c r="D49" s="182"/>
      <c r="E49" s="183"/>
      <c r="F49" s="182"/>
      <c r="G49" s="183"/>
      <c r="H49" s="182"/>
      <c r="I49" s="183"/>
      <c r="J49" s="182"/>
      <c r="K49" s="183"/>
      <c r="L49" s="182"/>
      <c r="M49" s="183"/>
      <c r="N49" s="182"/>
      <c r="O49" s="184"/>
      <c r="Q49" s="420"/>
    </row>
    <row r="50" spans="2:17" ht="26.4" hidden="1" x14ac:dyDescent="0.3">
      <c r="B50" s="181" t="s">
        <v>127</v>
      </c>
      <c r="C50" s="181"/>
      <c r="D50" s="182">
        <v>0</v>
      </c>
      <c r="E50" s="183">
        <v>0</v>
      </c>
      <c r="F50" s="182">
        <v>0</v>
      </c>
      <c r="G50" s="183">
        <v>0</v>
      </c>
      <c r="H50" s="182">
        <v>0</v>
      </c>
      <c r="I50" s="183">
        <v>0</v>
      </c>
      <c r="J50" s="182">
        <v>0</v>
      </c>
      <c r="K50" s="183">
        <v>0</v>
      </c>
      <c r="L50" s="182">
        <v>0</v>
      </c>
      <c r="M50" s="183">
        <v>0</v>
      </c>
      <c r="N50" s="182">
        <v>0</v>
      </c>
      <c r="O50" s="184">
        <v>0</v>
      </c>
      <c r="Q50" s="420"/>
    </row>
    <row r="51" spans="2:17" ht="26.4" x14ac:dyDescent="0.3">
      <c r="B51" s="181"/>
      <c r="C51" s="181"/>
      <c r="D51" s="182"/>
      <c r="E51" s="183"/>
      <c r="F51" s="182"/>
      <c r="G51" s="183"/>
      <c r="H51" s="182"/>
      <c r="I51" s="183"/>
      <c r="J51" s="182"/>
      <c r="K51" s="183"/>
      <c r="L51" s="182"/>
      <c r="M51" s="183"/>
      <c r="N51" s="182"/>
      <c r="O51" s="184"/>
      <c r="Q51" s="420"/>
    </row>
    <row r="52" spans="2:17" ht="26.4" x14ac:dyDescent="0.3">
      <c r="B52" s="181"/>
      <c r="C52" s="181"/>
      <c r="D52" s="182"/>
      <c r="E52" s="183"/>
      <c r="F52" s="182"/>
      <c r="G52" s="183"/>
      <c r="H52" s="182"/>
      <c r="I52" s="183"/>
      <c r="J52" s="182"/>
      <c r="K52" s="183"/>
      <c r="L52" s="182"/>
      <c r="M52" s="183"/>
      <c r="N52" s="182"/>
      <c r="O52" s="184"/>
      <c r="Q52" s="420"/>
    </row>
    <row r="53" spans="2:17" s="55" customFormat="1" ht="31.8" x14ac:dyDescent="0.3">
      <c r="B53" s="191" t="s">
        <v>128</v>
      </c>
      <c r="C53" s="192"/>
      <c r="D53" s="193">
        <f>D34+D47</f>
        <v>2579353321.6600003</v>
      </c>
      <c r="E53" s="194">
        <f>E47+E34</f>
        <v>1</v>
      </c>
      <c r="F53" s="193">
        <f>F34+F47</f>
        <v>1113554.28</v>
      </c>
      <c r="G53" s="194">
        <f>G47+G34</f>
        <v>1</v>
      </c>
      <c r="H53" s="193">
        <f>H34+H47</f>
        <v>2441412547.2600002</v>
      </c>
      <c r="I53" s="194">
        <f>I47+I34</f>
        <v>1</v>
      </c>
      <c r="J53" s="193">
        <f>J34+J47</f>
        <v>136827220.12</v>
      </c>
      <c r="K53" s="194">
        <f>K47+K34</f>
        <v>1</v>
      </c>
      <c r="L53" s="193">
        <f>L34+L47</f>
        <v>821060697</v>
      </c>
      <c r="M53" s="194">
        <f>M47+M34</f>
        <v>1</v>
      </c>
      <c r="N53" s="193">
        <f>N34+N47</f>
        <v>1000531.6600000001</v>
      </c>
      <c r="O53" s="195">
        <f>O34+O47</f>
        <v>3072</v>
      </c>
      <c r="Q53" s="420"/>
    </row>
    <row r="54" spans="2:17" ht="26.4" x14ac:dyDescent="0.3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Q54" s="420"/>
    </row>
    <row r="55" spans="2:17" ht="28.2" x14ac:dyDescent="0.3">
      <c r="B55" s="49"/>
      <c r="C55" s="50"/>
      <c r="D55" s="51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7" x14ac:dyDescent="0.3">
      <c r="D56" s="52"/>
      <c r="E56" s="52"/>
      <c r="F56" s="52"/>
      <c r="H56" s="52"/>
      <c r="J56" s="52"/>
      <c r="L56" s="52"/>
    </row>
    <row r="57" spans="2:17" x14ac:dyDescent="0.3">
      <c r="D57" s="52"/>
      <c r="E57" s="52"/>
      <c r="F57" s="52"/>
      <c r="H57" s="52"/>
      <c r="J57" s="52"/>
      <c r="L57" s="52"/>
    </row>
    <row r="58" spans="2:17" ht="15.6" x14ac:dyDescent="0.3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7" ht="28.2" x14ac:dyDescent="0.3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7" x14ac:dyDescent="0.3">
      <c r="D60" s="52"/>
      <c r="E60" s="52"/>
      <c r="F60" s="52"/>
      <c r="H60" s="52"/>
      <c r="J60" s="52"/>
      <c r="L60" s="52"/>
    </row>
    <row r="61" spans="2:17" x14ac:dyDescent="0.3">
      <c r="D61" s="52"/>
      <c r="E61" s="52"/>
      <c r="F61" s="52"/>
      <c r="H61" s="52"/>
      <c r="J61" s="52"/>
      <c r="L61" s="52"/>
    </row>
  </sheetData>
  <mergeCells count="27">
    <mergeCell ref="H36:H38"/>
    <mergeCell ref="I36:I38"/>
    <mergeCell ref="J36:J38"/>
    <mergeCell ref="K36:K38"/>
    <mergeCell ref="L36:L38"/>
    <mergeCell ref="M3:M5"/>
    <mergeCell ref="N3:N5"/>
    <mergeCell ref="O3:O5"/>
    <mergeCell ref="N36:N38"/>
    <mergeCell ref="O36:O38"/>
    <mergeCell ref="M36:M38"/>
    <mergeCell ref="B36:C38"/>
    <mergeCell ref="D36:D38"/>
    <mergeCell ref="E36:E38"/>
    <mergeCell ref="F36:F38"/>
    <mergeCell ref="G36:G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035AB-1681-46B7-97D6-D6FAFD727A46}">
  <sheetPr>
    <pageSetUpPr fitToPage="1"/>
  </sheetPr>
  <dimension ref="A1:L525"/>
  <sheetViews>
    <sheetView zoomScale="53" zoomScaleNormal="53" workbookViewId="0">
      <selection activeCell="A2" sqref="A2"/>
    </sheetView>
  </sheetViews>
  <sheetFormatPr baseColWidth="10" defaultColWidth="11.44140625" defaultRowHeight="13.8" x14ac:dyDescent="0.25"/>
  <cols>
    <col min="1" max="1" width="76.109375" style="276" customWidth="1"/>
    <col min="2" max="2" width="17.6640625" style="276" customWidth="1"/>
    <col min="3" max="3" width="16" style="276" customWidth="1"/>
    <col min="4" max="6" width="15.6640625" style="276" customWidth="1"/>
    <col min="7" max="7" width="14.5546875" style="276" customWidth="1"/>
    <col min="8" max="8" width="17.88671875" style="276" customWidth="1"/>
    <col min="9" max="9" width="25.44140625" style="276" customWidth="1"/>
    <col min="10" max="10" width="26.6640625" style="276" customWidth="1"/>
    <col min="11" max="11" width="25.88671875" style="276" customWidth="1"/>
    <col min="12" max="12" width="12.109375" style="276" customWidth="1"/>
    <col min="13" max="13" width="16" style="276" bestFit="1" customWidth="1"/>
    <col min="14" max="14" width="15.44140625" style="276" bestFit="1" customWidth="1"/>
    <col min="15" max="16384" width="11.44140625" style="276"/>
  </cols>
  <sheetData>
    <row r="1" spans="1:12" s="271" customFormat="1" ht="96" customHeight="1" x14ac:dyDescent="0.7">
      <c r="A1" s="431" t="s">
        <v>309</v>
      </c>
      <c r="B1" s="444"/>
      <c r="C1" s="444"/>
      <c r="D1" s="444"/>
      <c r="E1" s="444"/>
      <c r="F1" s="444"/>
      <c r="G1" s="302"/>
      <c r="H1" s="302"/>
      <c r="I1" s="302"/>
      <c r="J1" s="302"/>
      <c r="K1" s="303"/>
      <c r="L1" s="301"/>
    </row>
    <row r="2" spans="1:12" s="271" customFormat="1" ht="16.95" customHeight="1" x14ac:dyDescent="0.25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</row>
    <row r="3" spans="1:12" s="271" customFormat="1" ht="30.6" customHeight="1" x14ac:dyDescent="0.25">
      <c r="A3" s="457" t="s">
        <v>11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</row>
    <row r="4" spans="1:12" s="271" customFormat="1" ht="31.8" x14ac:dyDescent="0.25">
      <c r="A4" s="306" t="s">
        <v>146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8"/>
    </row>
    <row r="5" spans="1:12" s="271" customFormat="1" ht="42" customHeight="1" x14ac:dyDescent="0.25">
      <c r="A5" s="309" t="s">
        <v>135</v>
      </c>
      <c r="B5" s="196" t="s">
        <v>136</v>
      </c>
      <c r="C5" s="196" t="s">
        <v>296</v>
      </c>
      <c r="D5" s="196" t="s">
        <v>297</v>
      </c>
      <c r="E5" s="196" t="s">
        <v>138</v>
      </c>
      <c r="F5" s="196" t="s">
        <v>139</v>
      </c>
      <c r="G5" s="196" t="s">
        <v>140</v>
      </c>
      <c r="H5" s="196" t="s">
        <v>141</v>
      </c>
      <c r="I5" s="196" t="s">
        <v>142</v>
      </c>
      <c r="J5" s="196" t="s">
        <v>143</v>
      </c>
      <c r="K5" s="196" t="s">
        <v>144</v>
      </c>
      <c r="L5" s="310" t="s">
        <v>145</v>
      </c>
    </row>
    <row r="6" spans="1:12" s="272" customFormat="1" ht="20.399999999999999" x14ac:dyDescent="0.45">
      <c r="A6" s="312" t="s">
        <v>134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4"/>
    </row>
    <row r="7" spans="1:12" s="271" customFormat="1" ht="3" customHeight="1" x14ac:dyDescent="0.25">
      <c r="A7" s="273"/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5"/>
    </row>
    <row r="8" spans="1:12" ht="3" customHeight="1" x14ac:dyDescent="0.25">
      <c r="L8" s="277"/>
    </row>
    <row r="9" spans="1:12" ht="20.399999999999999" x14ac:dyDescent="0.45">
      <c r="A9" s="315" t="s">
        <v>147</v>
      </c>
      <c r="B9" s="316">
        <v>1</v>
      </c>
      <c r="C9" s="316">
        <v>1.1499999999999999</v>
      </c>
      <c r="D9" s="316">
        <v>1.1499999999999999</v>
      </c>
      <c r="E9" s="316">
        <v>1.1499999999999999</v>
      </c>
      <c r="F9" s="316">
        <v>1.1499999999999999</v>
      </c>
      <c r="G9" s="316">
        <f t="shared" ref="G9:G17" si="0">K9/I9</f>
        <v>1.1500000000000001</v>
      </c>
      <c r="H9" s="317">
        <v>0</v>
      </c>
      <c r="I9" s="318">
        <v>20778</v>
      </c>
      <c r="J9" s="319">
        <v>20778</v>
      </c>
      <c r="K9" s="319">
        <v>23894.7</v>
      </c>
      <c r="L9" s="320">
        <v>2</v>
      </c>
    </row>
    <row r="10" spans="1:12" ht="20.399999999999999" x14ac:dyDescent="0.45">
      <c r="A10" s="315" t="s">
        <v>14</v>
      </c>
      <c r="B10" s="316">
        <v>1</v>
      </c>
      <c r="C10" s="316">
        <v>1.04</v>
      </c>
      <c r="D10" s="316">
        <v>1</v>
      </c>
      <c r="E10" s="316">
        <v>1</v>
      </c>
      <c r="F10" s="316">
        <v>1.04</v>
      </c>
      <c r="G10" s="316">
        <f t="shared" si="0"/>
        <v>1.0205405405405406</v>
      </c>
      <c r="H10" s="317">
        <v>4</v>
      </c>
      <c r="I10" s="318">
        <v>37000</v>
      </c>
      <c r="J10" s="319">
        <v>37000</v>
      </c>
      <c r="K10" s="319">
        <v>37760</v>
      </c>
      <c r="L10" s="320">
        <v>3</v>
      </c>
    </row>
    <row r="11" spans="1:12" ht="20.399999999999999" x14ac:dyDescent="0.45">
      <c r="A11" s="315" t="s">
        <v>310</v>
      </c>
      <c r="B11" s="316">
        <v>1</v>
      </c>
      <c r="C11" s="316">
        <v>29</v>
      </c>
      <c r="D11" s="316">
        <v>29</v>
      </c>
      <c r="E11" s="316">
        <v>29</v>
      </c>
      <c r="F11" s="316">
        <v>29</v>
      </c>
      <c r="G11" s="316">
        <f t="shared" si="0"/>
        <v>29</v>
      </c>
      <c r="H11" s="317">
        <f>((29-31.91)/31.91)*100</f>
        <v>-9.1193983077405196</v>
      </c>
      <c r="I11" s="318">
        <v>630</v>
      </c>
      <c r="J11" s="319">
        <v>630</v>
      </c>
      <c r="K11" s="319">
        <v>18270</v>
      </c>
      <c r="L11" s="320">
        <v>1</v>
      </c>
    </row>
    <row r="12" spans="1:12" ht="20.399999999999999" x14ac:dyDescent="0.45">
      <c r="A12" s="315" t="s">
        <v>150</v>
      </c>
      <c r="B12" s="316">
        <v>1</v>
      </c>
      <c r="C12" s="316">
        <v>1.68</v>
      </c>
      <c r="D12" s="316">
        <v>1.65</v>
      </c>
      <c r="E12" s="316">
        <v>1.68</v>
      </c>
      <c r="F12" s="316">
        <v>1.65</v>
      </c>
      <c r="G12" s="316">
        <f t="shared" si="0"/>
        <v>1.670087985357563</v>
      </c>
      <c r="H12" s="317">
        <f>((1.65-1.69)/1.69)*100</f>
        <v>-2.3668639053254457</v>
      </c>
      <c r="I12" s="318">
        <v>76490</v>
      </c>
      <c r="J12" s="319">
        <v>76490</v>
      </c>
      <c r="K12" s="319">
        <v>127745.03</v>
      </c>
      <c r="L12" s="320">
        <v>9</v>
      </c>
    </row>
    <row r="13" spans="1:12" ht="20.399999999999999" x14ac:dyDescent="0.45">
      <c r="A13" s="315" t="s">
        <v>311</v>
      </c>
      <c r="B13" s="316">
        <v>1</v>
      </c>
      <c r="C13" s="316">
        <v>13.73</v>
      </c>
      <c r="D13" s="316">
        <v>13.73</v>
      </c>
      <c r="E13" s="316">
        <v>13.73</v>
      </c>
      <c r="F13" s="316">
        <v>13.73</v>
      </c>
      <c r="G13" s="316">
        <f t="shared" si="0"/>
        <v>13.73</v>
      </c>
      <c r="H13" s="317">
        <v>0</v>
      </c>
      <c r="I13" s="318">
        <v>493</v>
      </c>
      <c r="J13" s="319">
        <v>493</v>
      </c>
      <c r="K13" s="319">
        <v>6768.89</v>
      </c>
      <c r="L13" s="320">
        <v>1</v>
      </c>
    </row>
    <row r="14" spans="1:12" ht="20.399999999999999" x14ac:dyDescent="0.45">
      <c r="A14" s="315" t="s">
        <v>312</v>
      </c>
      <c r="B14" s="316">
        <v>1</v>
      </c>
      <c r="C14" s="316">
        <v>2.6</v>
      </c>
      <c r="D14" s="316">
        <v>2.6</v>
      </c>
      <c r="E14" s="316">
        <v>2.6</v>
      </c>
      <c r="F14" s="316">
        <v>2.6</v>
      </c>
      <c r="G14" s="316">
        <f t="shared" si="0"/>
        <v>2.6</v>
      </c>
      <c r="H14" s="317">
        <v>0</v>
      </c>
      <c r="I14" s="318">
        <v>2000</v>
      </c>
      <c r="J14" s="319">
        <v>2000</v>
      </c>
      <c r="K14" s="319">
        <v>5200</v>
      </c>
      <c r="L14" s="320">
        <v>1</v>
      </c>
    </row>
    <row r="15" spans="1:12" ht="20.399999999999999" x14ac:dyDescent="0.45">
      <c r="A15" s="315" t="s">
        <v>313</v>
      </c>
      <c r="B15" s="316">
        <v>1</v>
      </c>
      <c r="C15" s="316">
        <v>2.2600000000000002</v>
      </c>
      <c r="D15" s="316">
        <v>2.2600000000000002</v>
      </c>
      <c r="E15" s="316">
        <v>2.2600000000000002</v>
      </c>
      <c r="F15" s="316">
        <v>2.2600000000000002</v>
      </c>
      <c r="G15" s="316">
        <f t="shared" si="0"/>
        <v>2.2600000000000002</v>
      </c>
      <c r="H15" s="317">
        <v>0</v>
      </c>
      <c r="I15" s="318">
        <v>2885</v>
      </c>
      <c r="J15" s="319">
        <v>2885</v>
      </c>
      <c r="K15" s="319">
        <v>6520.1</v>
      </c>
      <c r="L15" s="320">
        <v>1</v>
      </c>
    </row>
    <row r="16" spans="1:12" ht="20.399999999999999" x14ac:dyDescent="0.45">
      <c r="A16" s="315" t="s">
        <v>157</v>
      </c>
      <c r="B16" s="316">
        <v>1</v>
      </c>
      <c r="C16" s="316">
        <v>0.75</v>
      </c>
      <c r="D16" s="316">
        <v>0.75</v>
      </c>
      <c r="E16" s="316">
        <v>0.75</v>
      </c>
      <c r="F16" s="316">
        <v>0.75</v>
      </c>
      <c r="G16" s="316">
        <f t="shared" si="0"/>
        <v>0.75</v>
      </c>
      <c r="H16" s="317">
        <f>((0.75-0.5)/0.5)*100</f>
        <v>50</v>
      </c>
      <c r="I16" s="318">
        <v>66222</v>
      </c>
      <c r="J16" s="319">
        <v>66222</v>
      </c>
      <c r="K16" s="319">
        <v>49666.5</v>
      </c>
      <c r="L16" s="320">
        <v>1</v>
      </c>
    </row>
    <row r="17" spans="1:12" ht="20.399999999999999" x14ac:dyDescent="0.45">
      <c r="A17" s="315" t="s">
        <v>314</v>
      </c>
      <c r="B17" s="316">
        <v>1</v>
      </c>
      <c r="C17" s="316">
        <v>3.7800000000000002</v>
      </c>
      <c r="D17" s="316">
        <v>3.7800000000000002</v>
      </c>
      <c r="E17" s="316">
        <v>3.7800000000000002</v>
      </c>
      <c r="F17" s="316">
        <v>3.7800000000000002</v>
      </c>
      <c r="G17" s="316">
        <f t="shared" si="0"/>
        <v>3.7800000000000002</v>
      </c>
      <c r="H17" s="317">
        <f>((3.78-3.45)/3.45)*100</f>
        <v>9.565217391304337</v>
      </c>
      <c r="I17" s="318">
        <v>1449</v>
      </c>
      <c r="J17" s="319">
        <v>1449</v>
      </c>
      <c r="K17" s="319">
        <v>5477.22</v>
      </c>
      <c r="L17" s="320">
        <v>1</v>
      </c>
    </row>
    <row r="18" spans="1:12" ht="20.399999999999999" x14ac:dyDescent="0.45">
      <c r="A18" s="321" t="s">
        <v>152</v>
      </c>
      <c r="B18" s="322"/>
      <c r="C18" s="322"/>
      <c r="D18" s="322"/>
      <c r="E18" s="322"/>
      <c r="F18" s="322"/>
      <c r="G18" s="322"/>
      <c r="H18" s="323"/>
      <c r="I18" s="324">
        <f>SUM(I9:I17)</f>
        <v>207947</v>
      </c>
      <c r="J18" s="325">
        <f>SUM(J9:J17)</f>
        <v>207947</v>
      </c>
      <c r="K18" s="325">
        <f>SUM(K9:K17)</f>
        <v>281302.43999999994</v>
      </c>
      <c r="L18" s="326">
        <f>SUM(L9:L17)</f>
        <v>20</v>
      </c>
    </row>
    <row r="19" spans="1:12" s="272" customFormat="1" ht="19.2" x14ac:dyDescent="0.45">
      <c r="A19" s="327" t="s">
        <v>153</v>
      </c>
      <c r="B19" s="328"/>
      <c r="C19" s="328"/>
      <c r="D19" s="328"/>
      <c r="E19" s="328"/>
      <c r="F19" s="328"/>
      <c r="G19" s="328"/>
      <c r="H19" s="328"/>
      <c r="I19" s="328"/>
      <c r="J19" s="329"/>
      <c r="K19" s="329"/>
      <c r="L19" s="330"/>
    </row>
    <row r="20" spans="1:12" s="272" customFormat="1" ht="19.2" x14ac:dyDescent="0.45">
      <c r="A20" s="327" t="s">
        <v>154</v>
      </c>
      <c r="B20" s="328"/>
      <c r="C20" s="328"/>
      <c r="D20" s="328"/>
      <c r="E20" s="328"/>
      <c r="F20" s="328"/>
      <c r="G20" s="328"/>
      <c r="H20" s="328"/>
      <c r="I20" s="328"/>
      <c r="J20" s="329"/>
      <c r="K20" s="329"/>
      <c r="L20" s="330"/>
    </row>
    <row r="21" spans="1:12" s="271" customFormat="1" ht="6" customHeight="1" x14ac:dyDescent="0.25">
      <c r="A21" s="276"/>
      <c r="B21" s="276"/>
      <c r="C21" s="276"/>
      <c r="D21" s="276"/>
      <c r="E21" s="276"/>
      <c r="F21" s="276"/>
      <c r="G21" s="276"/>
      <c r="H21" s="276"/>
      <c r="I21" s="276"/>
      <c r="J21" s="279"/>
      <c r="K21" s="279"/>
      <c r="L21" s="276"/>
    </row>
    <row r="22" spans="1:12" s="271" customFormat="1" ht="19.2" x14ac:dyDescent="0.45">
      <c r="A22" s="327"/>
      <c r="B22" s="328"/>
      <c r="C22" s="328"/>
      <c r="D22" s="328"/>
      <c r="E22" s="328"/>
      <c r="F22" s="328"/>
      <c r="G22" s="328"/>
      <c r="H22" s="328"/>
      <c r="I22" s="328"/>
      <c r="J22" s="329"/>
      <c r="K22" s="329"/>
      <c r="L22" s="330"/>
    </row>
    <row r="23" spans="1:12" s="281" customFormat="1" ht="20.399999999999999" x14ac:dyDescent="0.25">
      <c r="A23" s="309" t="s">
        <v>135</v>
      </c>
      <c r="B23" s="196" t="s">
        <v>136</v>
      </c>
      <c r="C23" s="196" t="s">
        <v>296</v>
      </c>
      <c r="D23" s="196" t="s">
        <v>137</v>
      </c>
      <c r="E23" s="196" t="s">
        <v>138</v>
      </c>
      <c r="F23" s="196" t="s">
        <v>155</v>
      </c>
      <c r="G23" s="196" t="s">
        <v>140</v>
      </c>
      <c r="H23" s="196" t="s">
        <v>141</v>
      </c>
      <c r="I23" s="196" t="s">
        <v>142</v>
      </c>
      <c r="J23" s="196" t="s">
        <v>143</v>
      </c>
      <c r="K23" s="196" t="s">
        <v>144</v>
      </c>
      <c r="L23" s="310" t="s">
        <v>145</v>
      </c>
    </row>
    <row r="24" spans="1:12" s="282" customFormat="1" ht="20.399999999999999" x14ac:dyDescent="0.45">
      <c r="A24" s="331" t="s">
        <v>298</v>
      </c>
      <c r="B24" s="332"/>
      <c r="C24" s="332"/>
      <c r="D24" s="332"/>
      <c r="E24" s="332"/>
      <c r="F24" s="332"/>
      <c r="G24" s="332"/>
      <c r="H24" s="332"/>
      <c r="I24" s="332"/>
      <c r="J24" s="333"/>
      <c r="K24" s="333"/>
      <c r="L24" s="334"/>
    </row>
    <row r="25" spans="1:12" ht="20.399999999999999" x14ac:dyDescent="0.45">
      <c r="A25" s="315" t="s">
        <v>315</v>
      </c>
      <c r="B25" s="316">
        <v>1</v>
      </c>
      <c r="C25" s="316">
        <v>0.95</v>
      </c>
      <c r="D25" s="316">
        <v>0.95</v>
      </c>
      <c r="E25" s="316">
        <v>0.95</v>
      </c>
      <c r="F25" s="316">
        <v>0.95</v>
      </c>
      <c r="G25" s="316">
        <f t="shared" ref="G25:G33" si="1">K25/I25</f>
        <v>0.95</v>
      </c>
      <c r="H25" s="317">
        <v>-5</v>
      </c>
      <c r="I25" s="318">
        <v>1200</v>
      </c>
      <c r="J25" s="319">
        <v>1200</v>
      </c>
      <c r="K25" s="319">
        <v>1140</v>
      </c>
      <c r="L25" s="320">
        <v>1</v>
      </c>
    </row>
    <row r="26" spans="1:12" ht="20.399999999999999" x14ac:dyDescent="0.45">
      <c r="A26" s="315" t="s">
        <v>147</v>
      </c>
      <c r="B26" s="316">
        <v>1</v>
      </c>
      <c r="C26" s="316">
        <v>1.1499999999999999</v>
      </c>
      <c r="D26" s="316">
        <v>1.1000000000000001</v>
      </c>
      <c r="E26" s="316">
        <v>1.1499999999999999</v>
      </c>
      <c r="F26" s="316">
        <v>1.1000000000000001</v>
      </c>
      <c r="G26" s="316">
        <f t="shared" si="1"/>
        <v>1.1275357385976856</v>
      </c>
      <c r="H26" s="317">
        <f>((1.1-1.15)/1.15)*100</f>
        <v>-4.3478260869565064</v>
      </c>
      <c r="I26" s="318">
        <v>5876</v>
      </c>
      <c r="J26" s="319">
        <v>5876</v>
      </c>
      <c r="K26" s="319">
        <v>6625.4000000000005</v>
      </c>
      <c r="L26" s="320">
        <v>5</v>
      </c>
    </row>
    <row r="27" spans="1:12" ht="20.399999999999999" x14ac:dyDescent="0.45">
      <c r="A27" s="315" t="s">
        <v>148</v>
      </c>
      <c r="B27" s="316">
        <v>100</v>
      </c>
      <c r="C27" s="316">
        <v>82.100000000000009</v>
      </c>
      <c r="D27" s="316">
        <v>82.100000000000009</v>
      </c>
      <c r="E27" s="316">
        <v>82.100000000000009</v>
      </c>
      <c r="F27" s="316">
        <v>82.100000000000009</v>
      </c>
      <c r="G27" s="316">
        <f t="shared" si="1"/>
        <v>82.100000000000009</v>
      </c>
      <c r="H27" s="317">
        <f>((82.1-80)/80)*100</f>
        <v>2.6249999999999929</v>
      </c>
      <c r="I27" s="318">
        <v>34</v>
      </c>
      <c r="J27" s="319">
        <v>3400</v>
      </c>
      <c r="K27" s="319">
        <v>2791.4</v>
      </c>
      <c r="L27" s="320">
        <v>1</v>
      </c>
    </row>
    <row r="28" spans="1:12" ht="20.399999999999999" x14ac:dyDescent="0.45">
      <c r="A28" s="315" t="s">
        <v>15</v>
      </c>
      <c r="B28" s="316">
        <v>1</v>
      </c>
      <c r="C28" s="316">
        <v>2.8</v>
      </c>
      <c r="D28" s="316">
        <v>2.8</v>
      </c>
      <c r="E28" s="316">
        <v>2.8</v>
      </c>
      <c r="F28" s="316">
        <v>2.8</v>
      </c>
      <c r="G28" s="316">
        <f t="shared" si="1"/>
        <v>2.8</v>
      </c>
      <c r="H28" s="317">
        <f>((2.8-2.12)/2.12)*100</f>
        <v>32.075471698113198</v>
      </c>
      <c r="I28" s="318">
        <v>1000</v>
      </c>
      <c r="J28" s="319">
        <v>1000</v>
      </c>
      <c r="K28" s="319">
        <v>2800</v>
      </c>
      <c r="L28" s="320">
        <v>1</v>
      </c>
    </row>
    <row r="29" spans="1:12" ht="20.399999999999999" x14ac:dyDescent="0.45">
      <c r="A29" s="315" t="s">
        <v>316</v>
      </c>
      <c r="B29" s="316">
        <v>1000</v>
      </c>
      <c r="C29" s="316">
        <v>400</v>
      </c>
      <c r="D29" s="316">
        <v>400</v>
      </c>
      <c r="E29" s="316">
        <v>400</v>
      </c>
      <c r="F29" s="316">
        <v>400</v>
      </c>
      <c r="G29" s="316">
        <f t="shared" si="1"/>
        <v>400</v>
      </c>
      <c r="H29" s="317">
        <v>0</v>
      </c>
      <c r="I29" s="318">
        <v>3</v>
      </c>
      <c r="J29" s="319">
        <v>3000</v>
      </c>
      <c r="K29" s="319">
        <v>1200</v>
      </c>
      <c r="L29" s="320">
        <v>1</v>
      </c>
    </row>
    <row r="30" spans="1:12" ht="20.399999999999999" x14ac:dyDescent="0.45">
      <c r="A30" s="315" t="s">
        <v>149</v>
      </c>
      <c r="B30" s="316">
        <v>1</v>
      </c>
      <c r="C30" s="316">
        <v>39</v>
      </c>
      <c r="D30" s="316">
        <v>39</v>
      </c>
      <c r="E30" s="316">
        <v>39</v>
      </c>
      <c r="F30" s="316">
        <v>39</v>
      </c>
      <c r="G30" s="316">
        <f t="shared" si="1"/>
        <v>39</v>
      </c>
      <c r="H30" s="317">
        <f>((39-39.8)/39.8)*100</f>
        <v>-2.0100502512562746</v>
      </c>
      <c r="I30" s="318">
        <v>55</v>
      </c>
      <c r="J30" s="319">
        <v>55</v>
      </c>
      <c r="K30" s="319">
        <v>2145</v>
      </c>
      <c r="L30" s="320">
        <v>2</v>
      </c>
    </row>
    <row r="31" spans="1:12" ht="20.399999999999999" x14ac:dyDescent="0.45">
      <c r="A31" s="315" t="s">
        <v>150</v>
      </c>
      <c r="B31" s="316">
        <v>1</v>
      </c>
      <c r="C31" s="316">
        <v>1.7</v>
      </c>
      <c r="D31" s="316">
        <v>1.64</v>
      </c>
      <c r="E31" s="316">
        <v>1.68</v>
      </c>
      <c r="F31" s="316">
        <v>1.64</v>
      </c>
      <c r="G31" s="316">
        <f t="shared" si="1"/>
        <v>1.6635701569833308</v>
      </c>
      <c r="H31" s="317">
        <f>((1.64-1.68)/1.68)*100</f>
        <v>-2.3809523809523832</v>
      </c>
      <c r="I31" s="318">
        <v>12358</v>
      </c>
      <c r="J31" s="319">
        <v>12358</v>
      </c>
      <c r="K31" s="319">
        <v>20558.400000000001</v>
      </c>
      <c r="L31" s="320">
        <v>22</v>
      </c>
    </row>
    <row r="32" spans="1:12" ht="20.399999999999999" x14ac:dyDescent="0.45">
      <c r="A32" s="315" t="s">
        <v>156</v>
      </c>
      <c r="B32" s="316">
        <v>1</v>
      </c>
      <c r="C32" s="316">
        <v>7</v>
      </c>
      <c r="D32" s="316">
        <v>7</v>
      </c>
      <c r="E32" s="316">
        <v>7</v>
      </c>
      <c r="F32" s="316">
        <v>7</v>
      </c>
      <c r="G32" s="316">
        <f t="shared" si="1"/>
        <v>7</v>
      </c>
      <c r="H32" s="317">
        <v>0</v>
      </c>
      <c r="I32" s="318">
        <v>21</v>
      </c>
      <c r="J32" s="319">
        <v>21</v>
      </c>
      <c r="K32" s="319">
        <v>147</v>
      </c>
      <c r="L32" s="320">
        <v>4</v>
      </c>
    </row>
    <row r="33" spans="1:12" ht="20.399999999999999" x14ac:dyDescent="0.45">
      <c r="A33" s="315" t="s">
        <v>151</v>
      </c>
      <c r="B33" s="316">
        <v>1</v>
      </c>
      <c r="C33" s="316">
        <v>1.03</v>
      </c>
      <c r="D33" s="316">
        <v>0.97</v>
      </c>
      <c r="E33" s="316">
        <v>1.03</v>
      </c>
      <c r="F33" s="316">
        <v>0.97</v>
      </c>
      <c r="G33" s="316">
        <f t="shared" si="1"/>
        <v>1.0073356837068748</v>
      </c>
      <c r="H33" s="317">
        <f>((0.97-1.02)/1.02)*100</f>
        <v>-4.9019607843137294</v>
      </c>
      <c r="I33" s="318">
        <v>7942</v>
      </c>
      <c r="J33" s="319">
        <v>7942</v>
      </c>
      <c r="K33" s="319">
        <v>8000.26</v>
      </c>
      <c r="L33" s="320">
        <v>5</v>
      </c>
    </row>
    <row r="34" spans="1:12" ht="20.399999999999999" x14ac:dyDescent="0.45">
      <c r="A34" s="321" t="s">
        <v>158</v>
      </c>
      <c r="B34" s="322"/>
      <c r="C34" s="322"/>
      <c r="D34" s="322"/>
      <c r="E34" s="322"/>
      <c r="F34" s="322"/>
      <c r="G34" s="322"/>
      <c r="H34" s="323"/>
      <c r="I34" s="324">
        <v>28489</v>
      </c>
      <c r="J34" s="325">
        <v>34852</v>
      </c>
      <c r="K34" s="325">
        <v>45407.46</v>
      </c>
      <c r="L34" s="326">
        <v>42</v>
      </c>
    </row>
    <row r="35" spans="1:12" s="278" customFormat="1" ht="19.2" x14ac:dyDescent="0.45">
      <c r="A35" s="327" t="s">
        <v>159</v>
      </c>
      <c r="B35" s="328"/>
      <c r="C35" s="328"/>
      <c r="D35" s="328"/>
      <c r="E35" s="328"/>
      <c r="F35" s="328"/>
      <c r="G35" s="328"/>
      <c r="H35" s="328"/>
      <c r="I35" s="328"/>
      <c r="J35" s="329"/>
      <c r="K35" s="329"/>
      <c r="L35" s="330"/>
    </row>
    <row r="36" spans="1:12" s="278" customFormat="1" ht="19.2" x14ac:dyDescent="0.45">
      <c r="A36" s="327" t="s">
        <v>160</v>
      </c>
      <c r="B36" s="328"/>
      <c r="C36" s="328"/>
      <c r="D36" s="328"/>
      <c r="E36" s="328"/>
      <c r="F36" s="328"/>
      <c r="G36" s="328"/>
      <c r="H36" s="328"/>
      <c r="I36" s="328"/>
      <c r="J36" s="329"/>
      <c r="K36" s="329"/>
      <c r="L36" s="330"/>
    </row>
    <row r="37" spans="1:12" ht="24.6" x14ac:dyDescent="0.55000000000000004">
      <c r="A37" s="335" t="s">
        <v>161</v>
      </c>
      <c r="B37" s="336"/>
      <c r="C37" s="336"/>
      <c r="D37" s="336"/>
      <c r="E37" s="336"/>
      <c r="F37" s="336"/>
      <c r="G37" s="336"/>
      <c r="H37" s="337"/>
      <c r="I37" s="338">
        <f>I18+I34</f>
        <v>236436</v>
      </c>
      <c r="J37" s="339">
        <f>J18+J34</f>
        <v>242799</v>
      </c>
      <c r="K37" s="339">
        <f>K18+K34</f>
        <v>326709.89999999997</v>
      </c>
      <c r="L37" s="340">
        <f>L18+L34</f>
        <v>62</v>
      </c>
    </row>
    <row r="38" spans="1:12" ht="7.5" customHeight="1" x14ac:dyDescent="0.7">
      <c r="A38" s="341"/>
      <c r="B38" s="342"/>
      <c r="C38" s="342"/>
      <c r="D38" s="342"/>
      <c r="E38" s="342"/>
      <c r="F38" s="342"/>
      <c r="G38" s="342"/>
      <c r="H38" s="342"/>
      <c r="I38" s="343"/>
      <c r="J38" s="344"/>
      <c r="K38" s="344"/>
      <c r="L38" s="345"/>
    </row>
    <row r="39" spans="1:12" s="271" customFormat="1" ht="31.8" x14ac:dyDescent="0.25">
      <c r="A39" s="306" t="s">
        <v>317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8"/>
    </row>
    <row r="40" spans="1:12" s="281" customFormat="1" ht="20.399999999999999" x14ac:dyDescent="0.25">
      <c r="A40" s="309" t="s">
        <v>135</v>
      </c>
      <c r="B40" s="196" t="s">
        <v>136</v>
      </c>
      <c r="C40" s="196" t="s">
        <v>296</v>
      </c>
      <c r="D40" s="196" t="s">
        <v>137</v>
      </c>
      <c r="E40" s="196" t="s">
        <v>138</v>
      </c>
      <c r="F40" s="196" t="s">
        <v>155</v>
      </c>
      <c r="G40" s="196" t="s">
        <v>140</v>
      </c>
      <c r="H40" s="196" t="s">
        <v>141</v>
      </c>
      <c r="I40" s="196" t="s">
        <v>142</v>
      </c>
      <c r="J40" s="196" t="s">
        <v>143</v>
      </c>
      <c r="K40" s="196" t="s">
        <v>144</v>
      </c>
      <c r="L40" s="310" t="s">
        <v>145</v>
      </c>
    </row>
    <row r="41" spans="1:12" ht="20.399999999999999" x14ac:dyDescent="0.45">
      <c r="A41" s="315" t="s">
        <v>318</v>
      </c>
      <c r="B41" s="316">
        <v>100</v>
      </c>
      <c r="C41" s="316">
        <v>100</v>
      </c>
      <c r="D41" s="316">
        <v>100</v>
      </c>
      <c r="E41" s="316">
        <v>100</v>
      </c>
      <c r="F41" s="316">
        <v>100</v>
      </c>
      <c r="G41" s="316">
        <v>100</v>
      </c>
      <c r="H41" s="317">
        <v>0</v>
      </c>
      <c r="I41" s="318">
        <v>130</v>
      </c>
      <c r="J41" s="319">
        <v>13000</v>
      </c>
      <c r="K41" s="319">
        <f>F41*I41</f>
        <v>13000</v>
      </c>
      <c r="L41" s="320">
        <v>4</v>
      </c>
    </row>
    <row r="42" spans="1:12" ht="7.5" customHeight="1" x14ac:dyDescent="0.7">
      <c r="A42" s="341"/>
      <c r="B42" s="342"/>
      <c r="C42" s="342"/>
      <c r="D42" s="342"/>
      <c r="E42" s="342"/>
      <c r="F42" s="342"/>
      <c r="G42" s="342"/>
      <c r="H42" s="342"/>
      <c r="I42" s="343"/>
      <c r="J42" s="344"/>
      <c r="K42" s="344"/>
      <c r="L42" s="345"/>
    </row>
    <row r="43" spans="1:12" ht="24.6" x14ac:dyDescent="0.55000000000000004">
      <c r="A43" s="335" t="s">
        <v>319</v>
      </c>
      <c r="B43" s="336"/>
      <c r="C43" s="336"/>
      <c r="D43" s="336"/>
      <c r="E43" s="336"/>
      <c r="F43" s="336"/>
      <c r="G43" s="336"/>
      <c r="H43" s="337"/>
      <c r="I43" s="338">
        <f>I41</f>
        <v>130</v>
      </c>
      <c r="J43" s="339">
        <f>J41</f>
        <v>13000</v>
      </c>
      <c r="K43" s="339">
        <f>K41</f>
        <v>13000</v>
      </c>
      <c r="L43" s="340">
        <f>L41</f>
        <v>4</v>
      </c>
    </row>
    <row r="44" spans="1:12" ht="7.5" customHeight="1" x14ac:dyDescent="0.7">
      <c r="A44" s="341"/>
      <c r="B44" s="342"/>
      <c r="C44" s="342"/>
      <c r="D44" s="342"/>
      <c r="E44" s="342"/>
      <c r="F44" s="342"/>
      <c r="G44" s="342"/>
      <c r="H44" s="342"/>
      <c r="I44" s="343"/>
      <c r="J44" s="344"/>
      <c r="K44" s="344"/>
      <c r="L44" s="345"/>
    </row>
    <row r="45" spans="1:12" s="271" customFormat="1" ht="31.8" x14ac:dyDescent="0.25">
      <c r="A45" s="306" t="s">
        <v>320</v>
      </c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8"/>
    </row>
    <row r="46" spans="1:12" s="281" customFormat="1" ht="20.399999999999999" x14ac:dyDescent="0.25">
      <c r="A46" s="309" t="s">
        <v>135</v>
      </c>
      <c r="B46" s="196" t="s">
        <v>136</v>
      </c>
      <c r="C46" s="196" t="s">
        <v>296</v>
      </c>
      <c r="D46" s="196" t="s">
        <v>137</v>
      </c>
      <c r="E46" s="196" t="s">
        <v>138</v>
      </c>
      <c r="F46" s="196" t="s">
        <v>155</v>
      </c>
      <c r="G46" s="196" t="s">
        <v>140</v>
      </c>
      <c r="H46" s="196" t="s">
        <v>141</v>
      </c>
      <c r="I46" s="196" t="s">
        <v>142</v>
      </c>
      <c r="J46" s="196" t="s">
        <v>143</v>
      </c>
      <c r="K46" s="196" t="s">
        <v>144</v>
      </c>
      <c r="L46" s="310" t="s">
        <v>145</v>
      </c>
    </row>
    <row r="47" spans="1:12" ht="20.399999999999999" x14ac:dyDescent="0.45">
      <c r="A47" s="315" t="s">
        <v>321</v>
      </c>
      <c r="B47" s="316">
        <v>6000</v>
      </c>
      <c r="C47" s="316">
        <v>7500</v>
      </c>
      <c r="D47" s="316">
        <v>7500</v>
      </c>
      <c r="E47" s="316">
        <v>7500</v>
      </c>
      <c r="F47" s="316">
        <v>7500</v>
      </c>
      <c r="G47" s="316">
        <v>7500</v>
      </c>
      <c r="H47" s="317">
        <v>0</v>
      </c>
      <c r="I47" s="318">
        <v>3</v>
      </c>
      <c r="J47" s="319">
        <v>18000</v>
      </c>
      <c r="K47" s="319">
        <f>F47*I47</f>
        <v>22500</v>
      </c>
      <c r="L47" s="320">
        <v>1</v>
      </c>
    </row>
    <row r="48" spans="1:12" ht="7.5" customHeight="1" x14ac:dyDescent="0.7">
      <c r="A48" s="341"/>
      <c r="B48" s="342"/>
      <c r="C48" s="342"/>
      <c r="D48" s="342"/>
      <c r="E48" s="342"/>
      <c r="F48" s="342"/>
      <c r="G48" s="342"/>
      <c r="H48" s="342"/>
      <c r="I48" s="343"/>
      <c r="J48" s="344"/>
      <c r="K48" s="344"/>
      <c r="L48" s="345"/>
    </row>
    <row r="49" spans="1:12" ht="24.6" x14ac:dyDescent="0.55000000000000004">
      <c r="A49" s="335" t="s">
        <v>322</v>
      </c>
      <c r="B49" s="336"/>
      <c r="C49" s="336"/>
      <c r="D49" s="336"/>
      <c r="E49" s="336"/>
      <c r="F49" s="336"/>
      <c r="G49" s="336"/>
      <c r="H49" s="337"/>
      <c r="I49" s="338">
        <f>I47</f>
        <v>3</v>
      </c>
      <c r="J49" s="339">
        <f>J47</f>
        <v>18000</v>
      </c>
      <c r="K49" s="339">
        <f>K47</f>
        <v>22500</v>
      </c>
      <c r="L49" s="340">
        <f>L47</f>
        <v>1</v>
      </c>
    </row>
    <row r="50" spans="1:12" ht="7.5" customHeight="1" x14ac:dyDescent="0.7">
      <c r="A50" s="341"/>
      <c r="B50" s="342"/>
      <c r="C50" s="342"/>
      <c r="D50" s="342"/>
      <c r="E50" s="342"/>
      <c r="F50" s="342"/>
      <c r="G50" s="342"/>
      <c r="H50" s="342"/>
      <c r="I50" s="343"/>
      <c r="J50" s="344"/>
      <c r="K50" s="344"/>
      <c r="L50" s="345"/>
    </row>
    <row r="51" spans="1:12" ht="7.5" customHeight="1" x14ac:dyDescent="0.7">
      <c r="A51" s="341"/>
      <c r="B51" s="342"/>
      <c r="C51" s="342"/>
      <c r="D51" s="342"/>
      <c r="E51" s="342"/>
      <c r="F51" s="342"/>
      <c r="G51" s="342"/>
      <c r="H51" s="342"/>
      <c r="I51" s="343"/>
      <c r="J51" s="344"/>
      <c r="K51" s="344"/>
      <c r="L51" s="345"/>
    </row>
    <row r="52" spans="1:12" ht="7.5" customHeight="1" x14ac:dyDescent="0.7">
      <c r="A52" s="341"/>
      <c r="B52" s="342"/>
      <c r="C52" s="342"/>
      <c r="D52" s="342"/>
      <c r="E52" s="342"/>
      <c r="F52" s="342"/>
      <c r="G52" s="342"/>
      <c r="H52" s="342"/>
      <c r="I52" s="343"/>
      <c r="J52" s="344"/>
      <c r="K52" s="344"/>
      <c r="L52" s="345"/>
    </row>
    <row r="53" spans="1:12" ht="24.6" x14ac:dyDescent="0.55000000000000004">
      <c r="A53" s="346" t="s">
        <v>162</v>
      </c>
      <c r="B53" s="347"/>
      <c r="C53" s="347"/>
      <c r="D53" s="347"/>
      <c r="E53" s="347"/>
      <c r="F53" s="347"/>
      <c r="G53" s="347"/>
      <c r="H53" s="348"/>
      <c r="I53" s="349"/>
      <c r="J53" s="339">
        <f t="shared" ref="J53:K53" si="2">J37+J43+J49</f>
        <v>273799</v>
      </c>
      <c r="K53" s="339">
        <f t="shared" si="2"/>
        <v>362209.89999999997</v>
      </c>
      <c r="L53" s="340">
        <f>L37+L43+L49</f>
        <v>67</v>
      </c>
    </row>
    <row r="54" spans="1:12" ht="20.399999999999999" x14ac:dyDescent="0.7">
      <c r="A54" s="342"/>
      <c r="B54" s="342"/>
      <c r="C54" s="342"/>
      <c r="D54" s="342"/>
      <c r="E54" s="342"/>
      <c r="F54" s="342"/>
      <c r="G54" s="342"/>
      <c r="H54" s="342"/>
      <c r="I54" s="343"/>
      <c r="J54" s="344"/>
      <c r="K54" s="344"/>
      <c r="L54" s="350"/>
    </row>
    <row r="55" spans="1:12" ht="25.2" customHeight="1" x14ac:dyDescent="0.25">
      <c r="A55" s="458" t="s">
        <v>12</v>
      </c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60"/>
    </row>
    <row r="56" spans="1:12" ht="9" customHeight="1" x14ac:dyDescent="0.7">
      <c r="A56" s="351"/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52"/>
    </row>
    <row r="57" spans="1:12" ht="20.399999999999999" x14ac:dyDescent="0.25">
      <c r="A57" s="309" t="s">
        <v>135</v>
      </c>
      <c r="B57" s="196" t="s">
        <v>163</v>
      </c>
      <c r="C57" s="196" t="s">
        <v>164</v>
      </c>
      <c r="D57" s="196" t="s">
        <v>165</v>
      </c>
      <c r="E57" s="196" t="s">
        <v>299</v>
      </c>
      <c r="F57" s="196" t="s">
        <v>300</v>
      </c>
      <c r="G57" s="196" t="s">
        <v>166</v>
      </c>
      <c r="H57" s="196" t="s">
        <v>301</v>
      </c>
      <c r="I57" s="196" t="s">
        <v>302</v>
      </c>
      <c r="J57" s="196" t="s">
        <v>303</v>
      </c>
      <c r="K57" s="196" t="s">
        <v>304</v>
      </c>
      <c r="L57" s="310" t="s">
        <v>145</v>
      </c>
    </row>
    <row r="58" spans="1:12" s="281" customFormat="1" ht="20.399999999999999" x14ac:dyDescent="0.45">
      <c r="A58" s="353" t="s">
        <v>167</v>
      </c>
      <c r="B58" s="354"/>
      <c r="C58" s="355"/>
      <c r="D58" s="355"/>
      <c r="E58" s="356"/>
      <c r="F58" s="357"/>
      <c r="G58" s="357"/>
      <c r="H58" s="354"/>
      <c r="I58" s="358"/>
      <c r="J58" s="358"/>
      <c r="K58" s="358"/>
      <c r="L58" s="359"/>
    </row>
    <row r="59" spans="1:12" s="284" customFormat="1" ht="20.399999999999999" x14ac:dyDescent="0.45">
      <c r="A59" s="360" t="s">
        <v>168</v>
      </c>
      <c r="B59" s="361" t="s">
        <v>169</v>
      </c>
      <c r="C59" s="362">
        <v>98.373999999999995</v>
      </c>
      <c r="D59" s="362"/>
      <c r="E59" s="421" t="s">
        <v>181</v>
      </c>
      <c r="F59" s="362">
        <v>8.5</v>
      </c>
      <c r="G59" s="362">
        <v>8.7959999999999994</v>
      </c>
      <c r="H59" s="363" t="s">
        <v>170</v>
      </c>
      <c r="I59" s="364">
        <v>2138000</v>
      </c>
      <c r="J59" s="364">
        <v>2138000</v>
      </c>
      <c r="K59" s="364">
        <v>2103238.14</v>
      </c>
      <c r="L59" s="365">
        <v>3</v>
      </c>
    </row>
    <row r="60" spans="1:12" s="284" customFormat="1" ht="20.399999999999999" x14ac:dyDescent="0.45">
      <c r="A60" s="360" t="s">
        <v>168</v>
      </c>
      <c r="B60" s="361" t="s">
        <v>169</v>
      </c>
      <c r="C60" s="362">
        <v>95.561599999999999</v>
      </c>
      <c r="D60" s="362"/>
      <c r="E60" s="421" t="s">
        <v>323</v>
      </c>
      <c r="F60" s="362">
        <v>9.5</v>
      </c>
      <c r="G60" s="362">
        <v>9.73</v>
      </c>
      <c r="H60" s="363" t="s">
        <v>170</v>
      </c>
      <c r="I60" s="364">
        <v>1200000</v>
      </c>
      <c r="J60" s="364">
        <v>1200000</v>
      </c>
      <c r="K60" s="364">
        <v>1146740.28</v>
      </c>
      <c r="L60" s="365">
        <v>1</v>
      </c>
    </row>
    <row r="61" spans="1:12" s="284" customFormat="1" ht="20.399999999999999" x14ac:dyDescent="0.45">
      <c r="A61" s="360" t="s">
        <v>168</v>
      </c>
      <c r="B61" s="361" t="s">
        <v>169</v>
      </c>
      <c r="C61" s="362">
        <v>92.258600000000001</v>
      </c>
      <c r="D61" s="362"/>
      <c r="E61" s="421" t="s">
        <v>324</v>
      </c>
      <c r="F61" s="362">
        <v>10.75</v>
      </c>
      <c r="G61" s="362">
        <v>10.874000000000001</v>
      </c>
      <c r="H61" s="363" t="s">
        <v>170</v>
      </c>
      <c r="I61" s="364">
        <v>1408859.1</v>
      </c>
      <c r="J61" s="364">
        <v>1408859.1</v>
      </c>
      <c r="K61" s="364">
        <v>1299793.75</v>
      </c>
      <c r="L61" s="365">
        <v>2</v>
      </c>
    </row>
    <row r="62" spans="1:12" s="284" customFormat="1" ht="20.399999999999999" x14ac:dyDescent="0.45">
      <c r="A62" s="360" t="s">
        <v>168</v>
      </c>
      <c r="B62" s="361" t="s">
        <v>169</v>
      </c>
      <c r="C62" s="362">
        <v>90.195899999999995</v>
      </c>
      <c r="D62" s="362"/>
      <c r="E62" s="421" t="s">
        <v>234</v>
      </c>
      <c r="F62" s="362">
        <v>10.9</v>
      </c>
      <c r="G62" s="362">
        <v>10.901</v>
      </c>
      <c r="H62" s="363" t="s">
        <v>170</v>
      </c>
      <c r="I62" s="364">
        <v>1000000</v>
      </c>
      <c r="J62" s="364">
        <v>1000000</v>
      </c>
      <c r="K62" s="364">
        <v>901959.5</v>
      </c>
      <c r="L62" s="365">
        <v>1</v>
      </c>
    </row>
    <row r="63" spans="1:12" s="284" customFormat="1" ht="20.399999999999999" x14ac:dyDescent="0.45">
      <c r="A63" s="360" t="s">
        <v>195</v>
      </c>
      <c r="B63" s="361" t="s">
        <v>169</v>
      </c>
      <c r="C63" s="362">
        <v>90.402199999999993</v>
      </c>
      <c r="D63" s="362"/>
      <c r="E63" s="421" t="s">
        <v>271</v>
      </c>
      <c r="F63" s="362">
        <v>10.5</v>
      </c>
      <c r="G63" s="362">
        <v>10.494</v>
      </c>
      <c r="H63" s="363" t="s">
        <v>170</v>
      </c>
      <c r="I63" s="364">
        <v>30000</v>
      </c>
      <c r="J63" s="364">
        <v>30000</v>
      </c>
      <c r="K63" s="364">
        <v>27120.69</v>
      </c>
      <c r="L63" s="365">
        <v>1</v>
      </c>
    </row>
    <row r="64" spans="1:12" s="283" customFormat="1" ht="20.399999999999999" x14ac:dyDescent="0.45">
      <c r="A64" s="312" t="s">
        <v>174</v>
      </c>
      <c r="B64" s="366"/>
      <c r="C64" s="367"/>
      <c r="D64" s="367"/>
      <c r="E64" s="422"/>
      <c r="F64" s="367"/>
      <c r="G64" s="367"/>
      <c r="H64" s="368"/>
      <c r="I64" s="369">
        <f>SUM(I59:I63)</f>
        <v>5776859.0999999996</v>
      </c>
      <c r="J64" s="369">
        <f t="shared" ref="J64:K64" si="3">SUM(J59:J63)</f>
        <v>5776859.0999999996</v>
      </c>
      <c r="K64" s="369">
        <f t="shared" si="3"/>
        <v>5478852.3600000003</v>
      </c>
      <c r="L64" s="314">
        <f>SUM(L59:L63)</f>
        <v>8</v>
      </c>
    </row>
    <row r="65" spans="1:12" s="283" customFormat="1" ht="20.399999999999999" x14ac:dyDescent="0.45">
      <c r="A65" s="312" t="s">
        <v>175</v>
      </c>
      <c r="B65" s="366"/>
      <c r="C65" s="367"/>
      <c r="D65" s="367"/>
      <c r="E65" s="422"/>
      <c r="F65" s="367"/>
      <c r="G65" s="367"/>
      <c r="H65" s="368"/>
      <c r="I65" s="369"/>
      <c r="J65" s="369"/>
      <c r="K65" s="369"/>
      <c r="L65" s="314"/>
    </row>
    <row r="66" spans="1:12" s="284" customFormat="1" ht="20.399999999999999" x14ac:dyDescent="0.45">
      <c r="A66" s="360" t="s">
        <v>176</v>
      </c>
      <c r="B66" s="361" t="s">
        <v>169</v>
      </c>
      <c r="C66" s="362">
        <v>90.451700000000002</v>
      </c>
      <c r="D66" s="362">
        <v>5.36</v>
      </c>
      <c r="E66" s="421" t="s">
        <v>325</v>
      </c>
      <c r="F66" s="362">
        <v>11.5</v>
      </c>
      <c r="G66" s="362">
        <v>12.12593</v>
      </c>
      <c r="H66" s="363" t="s">
        <v>178</v>
      </c>
      <c r="I66" s="364">
        <v>23050</v>
      </c>
      <c r="J66" s="364">
        <v>23050</v>
      </c>
      <c r="K66" s="364">
        <v>20849.13</v>
      </c>
      <c r="L66" s="365">
        <v>1</v>
      </c>
    </row>
    <row r="67" spans="1:12" s="284" customFormat="1" ht="20.399999999999999" x14ac:dyDescent="0.45">
      <c r="A67" s="360" t="s">
        <v>176</v>
      </c>
      <c r="B67" s="361" t="s">
        <v>169</v>
      </c>
      <c r="C67" s="362">
        <v>90.271100000000004</v>
      </c>
      <c r="D67" s="362">
        <v>5.36</v>
      </c>
      <c r="E67" s="421" t="s">
        <v>326</v>
      </c>
      <c r="F67" s="362">
        <v>11.5</v>
      </c>
      <c r="G67" s="362">
        <v>12.12593</v>
      </c>
      <c r="H67" s="363" t="s">
        <v>178</v>
      </c>
      <c r="I67" s="364">
        <v>3050</v>
      </c>
      <c r="J67" s="364">
        <v>3050</v>
      </c>
      <c r="K67" s="364">
        <v>2753.27</v>
      </c>
      <c r="L67" s="365">
        <v>1</v>
      </c>
    </row>
    <row r="68" spans="1:12" s="283" customFormat="1" ht="20.399999999999999" x14ac:dyDescent="0.45">
      <c r="A68" s="312" t="s">
        <v>174</v>
      </c>
      <c r="B68" s="366"/>
      <c r="C68" s="367"/>
      <c r="D68" s="367"/>
      <c r="E68" s="422"/>
      <c r="F68" s="367"/>
      <c r="G68" s="367"/>
      <c r="H68" s="368"/>
      <c r="I68" s="369">
        <f>SUM(I66:I67)</f>
        <v>26100</v>
      </c>
      <c r="J68" s="369">
        <f t="shared" ref="J68:K68" si="4">SUM(J66:J67)</f>
        <v>26100</v>
      </c>
      <c r="K68" s="369">
        <f t="shared" si="4"/>
        <v>23602.400000000001</v>
      </c>
      <c r="L68" s="314">
        <f>SUM(L66:L67)</f>
        <v>2</v>
      </c>
    </row>
    <row r="69" spans="1:12" s="283" customFormat="1" ht="20.399999999999999" x14ac:dyDescent="0.45">
      <c r="A69" s="312" t="s">
        <v>327</v>
      </c>
      <c r="B69" s="366"/>
      <c r="C69" s="367"/>
      <c r="D69" s="367"/>
      <c r="E69" s="422"/>
      <c r="F69" s="367"/>
      <c r="G69" s="367"/>
      <c r="H69" s="368"/>
      <c r="I69" s="369"/>
      <c r="J69" s="369"/>
      <c r="K69" s="369"/>
      <c r="L69" s="314"/>
    </row>
    <row r="70" spans="1:12" s="284" customFormat="1" ht="20.399999999999999" x14ac:dyDescent="0.45">
      <c r="A70" s="360" t="s">
        <v>176</v>
      </c>
      <c r="B70" s="361" t="s">
        <v>169</v>
      </c>
      <c r="C70" s="362">
        <v>100.1485</v>
      </c>
      <c r="D70" s="362">
        <v>6.1653000000000002</v>
      </c>
      <c r="E70" s="421" t="s">
        <v>328</v>
      </c>
      <c r="F70" s="362">
        <v>5</v>
      </c>
      <c r="G70" s="362">
        <v>5.0625</v>
      </c>
      <c r="H70" s="363" t="s">
        <v>178</v>
      </c>
      <c r="I70" s="364">
        <v>500000</v>
      </c>
      <c r="J70" s="364">
        <v>500000</v>
      </c>
      <c r="K70" s="364">
        <v>500742.9</v>
      </c>
      <c r="L70" s="365">
        <v>1</v>
      </c>
    </row>
    <row r="71" spans="1:12" s="283" customFormat="1" ht="20.399999999999999" x14ac:dyDescent="0.45">
      <c r="A71" s="312" t="s">
        <v>174</v>
      </c>
      <c r="B71" s="366"/>
      <c r="C71" s="367"/>
      <c r="D71" s="367"/>
      <c r="E71" s="422"/>
      <c r="F71" s="367"/>
      <c r="G71" s="367"/>
      <c r="H71" s="368"/>
      <c r="I71" s="369">
        <f>SUM(I70)</f>
        <v>500000</v>
      </c>
      <c r="J71" s="369">
        <f t="shared" ref="J71:K71" si="5">SUM(J70)</f>
        <v>500000</v>
      </c>
      <c r="K71" s="369">
        <f t="shared" si="5"/>
        <v>500742.9</v>
      </c>
      <c r="L71" s="314">
        <f>SUM(L70)</f>
        <v>1</v>
      </c>
    </row>
    <row r="72" spans="1:12" s="283" customFormat="1" ht="20.399999999999999" x14ac:dyDescent="0.45">
      <c r="A72" s="312" t="s">
        <v>179</v>
      </c>
      <c r="B72" s="366"/>
      <c r="C72" s="367"/>
      <c r="D72" s="367"/>
      <c r="E72" s="422"/>
      <c r="F72" s="367"/>
      <c r="G72" s="367"/>
      <c r="H72" s="368"/>
      <c r="I72" s="369"/>
      <c r="J72" s="369"/>
      <c r="K72" s="369"/>
      <c r="L72" s="314"/>
    </row>
    <row r="73" spans="1:12" s="284" customFormat="1" ht="20.399999999999999" x14ac:dyDescent="0.45">
      <c r="A73" s="360" t="s">
        <v>176</v>
      </c>
      <c r="B73" s="361" t="s">
        <v>169</v>
      </c>
      <c r="C73" s="362">
        <v>70.253600000000006</v>
      </c>
      <c r="D73" s="362">
        <v>5.64</v>
      </c>
      <c r="E73" s="421" t="s">
        <v>329</v>
      </c>
      <c r="F73" s="362">
        <v>13.05</v>
      </c>
      <c r="G73" s="362">
        <v>13.85955</v>
      </c>
      <c r="H73" s="363" t="s">
        <v>178</v>
      </c>
      <c r="I73" s="364">
        <v>2080</v>
      </c>
      <c r="J73" s="364">
        <v>2080</v>
      </c>
      <c r="K73" s="364">
        <v>1461.28</v>
      </c>
      <c r="L73" s="365">
        <v>1</v>
      </c>
    </row>
    <row r="74" spans="1:12" s="284" customFormat="1" ht="20.399999999999999" x14ac:dyDescent="0.45">
      <c r="A74" s="360" t="s">
        <v>176</v>
      </c>
      <c r="B74" s="361" t="s">
        <v>169</v>
      </c>
      <c r="C74" s="362">
        <v>74.900999999999996</v>
      </c>
      <c r="D74" s="362">
        <v>5.07</v>
      </c>
      <c r="E74" s="421" t="s">
        <v>330</v>
      </c>
      <c r="F74" s="362">
        <v>13.25</v>
      </c>
      <c r="G74" s="362">
        <v>14.08502</v>
      </c>
      <c r="H74" s="363" t="s">
        <v>178</v>
      </c>
      <c r="I74" s="364">
        <v>42922.5</v>
      </c>
      <c r="J74" s="364">
        <v>42922.5</v>
      </c>
      <c r="K74" s="364">
        <v>32149.39</v>
      </c>
      <c r="L74" s="365">
        <v>1</v>
      </c>
    </row>
    <row r="75" spans="1:12" s="284" customFormat="1" ht="20.399999999999999" x14ac:dyDescent="0.45">
      <c r="A75" s="360" t="s">
        <v>176</v>
      </c>
      <c r="B75" s="361" t="s">
        <v>169</v>
      </c>
      <c r="C75" s="362">
        <v>74.847399999999993</v>
      </c>
      <c r="D75" s="362">
        <v>5.07</v>
      </c>
      <c r="E75" s="421" t="s">
        <v>331</v>
      </c>
      <c r="F75" s="362">
        <v>13.25</v>
      </c>
      <c r="G75" s="362">
        <v>14.08502</v>
      </c>
      <c r="H75" s="363" t="s">
        <v>178</v>
      </c>
      <c r="I75" s="364">
        <v>8000</v>
      </c>
      <c r="J75" s="364">
        <v>8000</v>
      </c>
      <c r="K75" s="364">
        <v>5987.8</v>
      </c>
      <c r="L75" s="365">
        <v>1</v>
      </c>
    </row>
    <row r="76" spans="1:12" s="284" customFormat="1" ht="20.399999999999999" x14ac:dyDescent="0.45">
      <c r="A76" s="360" t="s">
        <v>176</v>
      </c>
      <c r="B76" s="361" t="s">
        <v>169</v>
      </c>
      <c r="C76" s="362">
        <v>73.158900000000003</v>
      </c>
      <c r="D76" s="362">
        <v>5.07</v>
      </c>
      <c r="E76" s="421" t="s">
        <v>332</v>
      </c>
      <c r="F76" s="362">
        <v>14</v>
      </c>
      <c r="G76" s="362">
        <v>14.934200000000001</v>
      </c>
      <c r="H76" s="363" t="s">
        <v>178</v>
      </c>
      <c r="I76" s="364">
        <v>7098.25</v>
      </c>
      <c r="J76" s="364">
        <v>7098.25</v>
      </c>
      <c r="K76" s="364">
        <v>5193</v>
      </c>
      <c r="L76" s="365">
        <v>1</v>
      </c>
    </row>
    <row r="77" spans="1:12" s="283" customFormat="1" ht="20.399999999999999" x14ac:dyDescent="0.45">
      <c r="A77" s="312" t="s">
        <v>174</v>
      </c>
      <c r="B77" s="366"/>
      <c r="C77" s="367"/>
      <c r="D77" s="367"/>
      <c r="E77" s="422"/>
      <c r="F77" s="367"/>
      <c r="G77" s="367"/>
      <c r="H77" s="368"/>
      <c r="I77" s="369">
        <f>SUM(I73:I76)</f>
        <v>60100.75</v>
      </c>
      <c r="J77" s="369">
        <f t="shared" ref="J77:K77" si="6">SUM(J73:J76)</f>
        <v>60100.75</v>
      </c>
      <c r="K77" s="369">
        <f t="shared" si="6"/>
        <v>44791.47</v>
      </c>
      <c r="L77" s="314">
        <f>SUM(L73:L76)</f>
        <v>4</v>
      </c>
    </row>
    <row r="78" spans="1:12" s="283" customFormat="1" ht="20.399999999999999" x14ac:dyDescent="0.45">
      <c r="A78" s="312" t="s">
        <v>180</v>
      </c>
      <c r="B78" s="366"/>
      <c r="C78" s="367"/>
      <c r="D78" s="367"/>
      <c r="E78" s="422"/>
      <c r="F78" s="367"/>
      <c r="G78" s="367"/>
      <c r="H78" s="368"/>
      <c r="I78" s="369"/>
      <c r="J78" s="369"/>
      <c r="K78" s="369"/>
      <c r="L78" s="314"/>
    </row>
    <row r="79" spans="1:12" s="284" customFormat="1" ht="20.399999999999999" x14ac:dyDescent="0.45">
      <c r="A79" s="360" t="s">
        <v>176</v>
      </c>
      <c r="B79" s="361" t="s">
        <v>169</v>
      </c>
      <c r="C79" s="362">
        <v>99.997699999999995</v>
      </c>
      <c r="D79" s="362">
        <v>6.1653000000000002</v>
      </c>
      <c r="E79" s="421" t="s">
        <v>333</v>
      </c>
      <c r="F79" s="362">
        <v>6.1653000000000002</v>
      </c>
      <c r="G79" s="362">
        <v>6.2603200000000001</v>
      </c>
      <c r="H79" s="363" t="s">
        <v>178</v>
      </c>
      <c r="I79" s="364">
        <v>203851.97</v>
      </c>
      <c r="J79" s="364">
        <v>203851.97</v>
      </c>
      <c r="K79" s="364">
        <v>203847.42</v>
      </c>
      <c r="L79" s="365">
        <v>7</v>
      </c>
    </row>
    <row r="80" spans="1:12" s="284" customFormat="1" ht="20.399999999999999" x14ac:dyDescent="0.45">
      <c r="A80" s="360" t="s">
        <v>176</v>
      </c>
      <c r="B80" s="361" t="s">
        <v>169</v>
      </c>
      <c r="C80" s="362">
        <v>99.997500000000002</v>
      </c>
      <c r="D80" s="362">
        <v>6.1653000000000002</v>
      </c>
      <c r="E80" s="421" t="s">
        <v>334</v>
      </c>
      <c r="F80" s="362">
        <v>6.1653000000000002</v>
      </c>
      <c r="G80" s="362">
        <v>6.2603200000000001</v>
      </c>
      <c r="H80" s="363" t="s">
        <v>178</v>
      </c>
      <c r="I80" s="364">
        <v>155342.37</v>
      </c>
      <c r="J80" s="364">
        <v>155342.37</v>
      </c>
      <c r="K80" s="364">
        <v>155338.53</v>
      </c>
      <c r="L80" s="365">
        <v>4</v>
      </c>
    </row>
    <row r="81" spans="1:12" s="284" customFormat="1" ht="20.399999999999999" x14ac:dyDescent="0.45">
      <c r="A81" s="360" t="s">
        <v>176</v>
      </c>
      <c r="B81" s="361" t="s">
        <v>169</v>
      </c>
      <c r="C81" s="362">
        <v>99.997299999999996</v>
      </c>
      <c r="D81" s="362">
        <v>6.1653000000000002</v>
      </c>
      <c r="E81" s="421" t="s">
        <v>335</v>
      </c>
      <c r="F81" s="362">
        <v>6.1653000000000002</v>
      </c>
      <c r="G81" s="362">
        <v>6.2603200000000001</v>
      </c>
      <c r="H81" s="363" t="s">
        <v>178</v>
      </c>
      <c r="I81" s="364">
        <v>77683.8</v>
      </c>
      <c r="J81" s="364">
        <v>77683.8</v>
      </c>
      <c r="K81" s="364">
        <v>77681.7</v>
      </c>
      <c r="L81" s="365">
        <v>2</v>
      </c>
    </row>
    <row r="82" spans="1:12" s="284" customFormat="1" ht="20.399999999999999" x14ac:dyDescent="0.45">
      <c r="A82" s="360" t="s">
        <v>176</v>
      </c>
      <c r="B82" s="361" t="s">
        <v>169</v>
      </c>
      <c r="C82" s="362">
        <v>85.122900000000001</v>
      </c>
      <c r="D82" s="362">
        <v>7.1295000000000002</v>
      </c>
      <c r="E82" s="421" t="s">
        <v>336</v>
      </c>
      <c r="F82" s="362">
        <v>11.8</v>
      </c>
      <c r="G82" s="362">
        <v>12.148099999999999</v>
      </c>
      <c r="H82" s="363" t="s">
        <v>178</v>
      </c>
      <c r="I82" s="364">
        <v>1500000</v>
      </c>
      <c r="J82" s="364">
        <v>1500000</v>
      </c>
      <c r="K82" s="364">
        <v>1276843.76</v>
      </c>
      <c r="L82" s="365">
        <v>1</v>
      </c>
    </row>
    <row r="83" spans="1:12" s="284" customFormat="1" ht="20.399999999999999" x14ac:dyDescent="0.45">
      <c r="A83" s="360" t="s">
        <v>176</v>
      </c>
      <c r="B83" s="361" t="s">
        <v>169</v>
      </c>
      <c r="C83" s="362">
        <v>89.141800000000003</v>
      </c>
      <c r="D83" s="362">
        <v>6.1653000000000002</v>
      </c>
      <c r="E83" s="421" t="s">
        <v>337</v>
      </c>
      <c r="F83" s="362">
        <v>12.25</v>
      </c>
      <c r="G83" s="362">
        <v>12.62515</v>
      </c>
      <c r="H83" s="363" t="s">
        <v>178</v>
      </c>
      <c r="I83" s="364">
        <v>590493.18000000005</v>
      </c>
      <c r="J83" s="364">
        <v>590493.18000000005</v>
      </c>
      <c r="K83" s="364">
        <v>526376.39</v>
      </c>
      <c r="L83" s="365">
        <v>1</v>
      </c>
    </row>
    <row r="84" spans="1:12" s="284" customFormat="1" ht="20.399999999999999" x14ac:dyDescent="0.45">
      <c r="A84" s="360" t="s">
        <v>176</v>
      </c>
      <c r="B84" s="361" t="s">
        <v>169</v>
      </c>
      <c r="C84" s="362">
        <v>89.004000000000005</v>
      </c>
      <c r="D84" s="362">
        <v>6.1653000000000002</v>
      </c>
      <c r="E84" s="421" t="s">
        <v>326</v>
      </c>
      <c r="F84" s="362">
        <v>12.5</v>
      </c>
      <c r="G84" s="362">
        <v>12.89062</v>
      </c>
      <c r="H84" s="363" t="s">
        <v>178</v>
      </c>
      <c r="I84" s="364">
        <v>203851.97</v>
      </c>
      <c r="J84" s="364">
        <v>203851.97</v>
      </c>
      <c r="K84" s="364">
        <v>181436.44</v>
      </c>
      <c r="L84" s="365">
        <v>7</v>
      </c>
    </row>
    <row r="85" spans="1:12" s="284" customFormat="1" ht="20.399999999999999" x14ac:dyDescent="0.45">
      <c r="A85" s="360" t="s">
        <v>176</v>
      </c>
      <c r="B85" s="361" t="s">
        <v>169</v>
      </c>
      <c r="C85" s="362">
        <v>88.962500000000006</v>
      </c>
      <c r="D85" s="362">
        <v>6.1653000000000002</v>
      </c>
      <c r="E85" s="421" t="s">
        <v>333</v>
      </c>
      <c r="F85" s="362">
        <v>12.5</v>
      </c>
      <c r="G85" s="362">
        <v>12.89062</v>
      </c>
      <c r="H85" s="363" t="s">
        <v>178</v>
      </c>
      <c r="I85" s="364">
        <v>155342.37</v>
      </c>
      <c r="J85" s="364">
        <v>155342.37</v>
      </c>
      <c r="K85" s="364">
        <v>138196.47</v>
      </c>
      <c r="L85" s="365">
        <v>4</v>
      </c>
    </row>
    <row r="86" spans="1:12" s="284" customFormat="1" ht="20.399999999999999" x14ac:dyDescent="0.45">
      <c r="A86" s="360" t="s">
        <v>176</v>
      </c>
      <c r="B86" s="361" t="s">
        <v>169</v>
      </c>
      <c r="C86" s="362">
        <v>88.948599999999999</v>
      </c>
      <c r="D86" s="362">
        <v>6.1653000000000002</v>
      </c>
      <c r="E86" s="421" t="s">
        <v>334</v>
      </c>
      <c r="F86" s="362">
        <v>12.5</v>
      </c>
      <c r="G86" s="362">
        <v>12.89062</v>
      </c>
      <c r="H86" s="363" t="s">
        <v>178</v>
      </c>
      <c r="I86" s="364">
        <v>77683.8</v>
      </c>
      <c r="J86" s="364">
        <v>77683.8</v>
      </c>
      <c r="K86" s="364">
        <v>69098.720000000001</v>
      </c>
      <c r="L86" s="365">
        <v>2</v>
      </c>
    </row>
    <row r="87" spans="1:12" s="284" customFormat="1" ht="20.399999999999999" x14ac:dyDescent="0.45">
      <c r="A87" s="360" t="s">
        <v>176</v>
      </c>
      <c r="B87" s="361" t="s">
        <v>169</v>
      </c>
      <c r="C87" s="362">
        <v>79.127799999999993</v>
      </c>
      <c r="D87" s="362">
        <v>7.1295000000000002</v>
      </c>
      <c r="E87" s="421" t="s">
        <v>338</v>
      </c>
      <c r="F87" s="362">
        <v>14</v>
      </c>
      <c r="G87" s="362">
        <v>14.49</v>
      </c>
      <c r="H87" s="363" t="s">
        <v>178</v>
      </c>
      <c r="I87" s="364">
        <v>370000</v>
      </c>
      <c r="J87" s="364">
        <v>370000</v>
      </c>
      <c r="K87" s="364">
        <v>292773.03999999998</v>
      </c>
      <c r="L87" s="365">
        <v>1</v>
      </c>
    </row>
    <row r="88" spans="1:12" s="283" customFormat="1" ht="20.399999999999999" x14ac:dyDescent="0.45">
      <c r="A88" s="312" t="s">
        <v>174</v>
      </c>
      <c r="B88" s="366"/>
      <c r="C88" s="367"/>
      <c r="D88" s="367"/>
      <c r="E88" s="422"/>
      <c r="F88" s="367"/>
      <c r="G88" s="367"/>
      <c r="H88" s="368"/>
      <c r="I88" s="369">
        <f>SUM(I79:I87)</f>
        <v>3334249.46</v>
      </c>
      <c r="J88" s="369">
        <f t="shared" ref="J88:K88" si="7">SUM(J79:J87)</f>
        <v>3334249.46</v>
      </c>
      <c r="K88" s="369">
        <f t="shared" si="7"/>
        <v>2921592.4700000007</v>
      </c>
      <c r="L88" s="314">
        <f>SUM(L79:L87)</f>
        <v>29</v>
      </c>
    </row>
    <row r="89" spans="1:12" s="283" customFormat="1" ht="20.399999999999999" x14ac:dyDescent="0.45">
      <c r="A89" s="312" t="s">
        <v>182</v>
      </c>
      <c r="B89" s="366"/>
      <c r="C89" s="367"/>
      <c r="D89" s="367"/>
      <c r="E89" s="422"/>
      <c r="F89" s="367"/>
      <c r="G89" s="367"/>
      <c r="H89" s="368"/>
      <c r="I89" s="369"/>
      <c r="J89" s="369"/>
      <c r="K89" s="369"/>
      <c r="L89" s="314"/>
    </row>
    <row r="90" spans="1:12" s="284" customFormat="1" ht="20.399999999999999" x14ac:dyDescent="0.45">
      <c r="A90" s="360" t="s">
        <v>176</v>
      </c>
      <c r="B90" s="361" t="s">
        <v>169</v>
      </c>
      <c r="C90" s="362">
        <v>70.324100000000001</v>
      </c>
      <c r="D90" s="362">
        <v>5.36</v>
      </c>
      <c r="E90" s="421" t="s">
        <v>339</v>
      </c>
      <c r="F90" s="362">
        <v>13</v>
      </c>
      <c r="G90" s="362">
        <v>13.803240000000001</v>
      </c>
      <c r="H90" s="363" t="s">
        <v>178</v>
      </c>
      <c r="I90" s="364">
        <v>14870</v>
      </c>
      <c r="J90" s="364">
        <v>14870</v>
      </c>
      <c r="K90" s="364">
        <v>10457.200000000001</v>
      </c>
      <c r="L90" s="365">
        <v>3</v>
      </c>
    </row>
    <row r="91" spans="1:12" s="284" customFormat="1" ht="20.399999999999999" x14ac:dyDescent="0.45">
      <c r="A91" s="360" t="s">
        <v>176</v>
      </c>
      <c r="B91" s="361" t="s">
        <v>169</v>
      </c>
      <c r="C91" s="362">
        <v>69.751499999999993</v>
      </c>
      <c r="D91" s="362">
        <v>5.36</v>
      </c>
      <c r="E91" s="421" t="s">
        <v>340</v>
      </c>
      <c r="F91" s="362">
        <v>13.25</v>
      </c>
      <c r="G91" s="362">
        <v>14.08502</v>
      </c>
      <c r="H91" s="363" t="s">
        <v>178</v>
      </c>
      <c r="I91" s="364">
        <v>50100</v>
      </c>
      <c r="J91" s="364">
        <v>50100</v>
      </c>
      <c r="K91" s="364">
        <v>34945.519999999997</v>
      </c>
      <c r="L91" s="365">
        <v>2</v>
      </c>
    </row>
    <row r="92" spans="1:12" s="284" customFormat="1" ht="20.399999999999999" x14ac:dyDescent="0.45">
      <c r="A92" s="360" t="s">
        <v>176</v>
      </c>
      <c r="B92" s="361" t="s">
        <v>169</v>
      </c>
      <c r="C92" s="362">
        <v>69.740799999999993</v>
      </c>
      <c r="D92" s="362">
        <v>5.36</v>
      </c>
      <c r="E92" s="421" t="s">
        <v>341</v>
      </c>
      <c r="F92" s="362">
        <v>13.25</v>
      </c>
      <c r="G92" s="362">
        <v>14.08502</v>
      </c>
      <c r="H92" s="363" t="s">
        <v>178</v>
      </c>
      <c r="I92" s="364">
        <v>3000</v>
      </c>
      <c r="J92" s="364">
        <v>3000</v>
      </c>
      <c r="K92" s="364">
        <v>2092.23</v>
      </c>
      <c r="L92" s="365">
        <v>1</v>
      </c>
    </row>
    <row r="93" spans="1:12" s="284" customFormat="1" ht="20.399999999999999" x14ac:dyDescent="0.45">
      <c r="A93" s="360" t="s">
        <v>176</v>
      </c>
      <c r="B93" s="361" t="s">
        <v>169</v>
      </c>
      <c r="C93" s="362">
        <v>73.413499999999999</v>
      </c>
      <c r="D93" s="362">
        <v>5.07</v>
      </c>
      <c r="E93" s="421" t="s">
        <v>342</v>
      </c>
      <c r="F93" s="362">
        <v>13.5</v>
      </c>
      <c r="G93" s="362">
        <v>14.36744</v>
      </c>
      <c r="H93" s="363" t="s">
        <v>178</v>
      </c>
      <c r="I93" s="364">
        <v>10000</v>
      </c>
      <c r="J93" s="364">
        <v>10000</v>
      </c>
      <c r="K93" s="364">
        <v>7341.36</v>
      </c>
      <c r="L93" s="365">
        <v>1</v>
      </c>
    </row>
    <row r="94" spans="1:12" s="284" customFormat="1" ht="20.399999999999999" x14ac:dyDescent="0.45">
      <c r="A94" s="360" t="s">
        <v>176</v>
      </c>
      <c r="B94" s="361" t="s">
        <v>169</v>
      </c>
      <c r="C94" s="362">
        <v>68.761600000000001</v>
      </c>
      <c r="D94" s="362">
        <v>5.36</v>
      </c>
      <c r="E94" s="421" t="s">
        <v>339</v>
      </c>
      <c r="F94" s="362">
        <v>13.5</v>
      </c>
      <c r="G94" s="362">
        <v>14.36744</v>
      </c>
      <c r="H94" s="363" t="s">
        <v>178</v>
      </c>
      <c r="I94" s="364">
        <v>20000</v>
      </c>
      <c r="J94" s="364">
        <v>20000</v>
      </c>
      <c r="K94" s="364">
        <v>13752.34</v>
      </c>
      <c r="L94" s="365">
        <v>2</v>
      </c>
    </row>
    <row r="95" spans="1:12" s="284" customFormat="1" ht="20.399999999999999" x14ac:dyDescent="0.45">
      <c r="A95" s="360" t="s">
        <v>176</v>
      </c>
      <c r="B95" s="361" t="s">
        <v>169</v>
      </c>
      <c r="C95" s="362">
        <v>67.351399999999998</v>
      </c>
      <c r="D95" s="362">
        <v>5.36</v>
      </c>
      <c r="E95" s="421" t="s">
        <v>250</v>
      </c>
      <c r="F95" s="362">
        <v>14</v>
      </c>
      <c r="G95" s="362">
        <v>14.934200000000001</v>
      </c>
      <c r="H95" s="363" t="s">
        <v>178</v>
      </c>
      <c r="I95" s="364">
        <v>10000</v>
      </c>
      <c r="J95" s="364">
        <v>10000</v>
      </c>
      <c r="K95" s="364">
        <v>6735.15</v>
      </c>
      <c r="L95" s="365">
        <v>1</v>
      </c>
    </row>
    <row r="96" spans="1:12" s="283" customFormat="1" ht="20.399999999999999" x14ac:dyDescent="0.45">
      <c r="A96" s="312" t="s">
        <v>174</v>
      </c>
      <c r="B96" s="366"/>
      <c r="C96" s="367"/>
      <c r="D96" s="367"/>
      <c r="E96" s="422"/>
      <c r="F96" s="367"/>
      <c r="G96" s="367"/>
      <c r="H96" s="368"/>
      <c r="I96" s="369">
        <f>SUM(I90:I95)</f>
        <v>107970</v>
      </c>
      <c r="J96" s="369">
        <f t="shared" ref="J96:K96" si="8">SUM(J90:J95)</f>
        <v>107970</v>
      </c>
      <c r="K96" s="369">
        <f t="shared" si="8"/>
        <v>75323.8</v>
      </c>
      <c r="L96" s="314">
        <f>SUM(L90:L95)</f>
        <v>10</v>
      </c>
    </row>
    <row r="97" spans="1:12" s="283" customFormat="1" ht="20.399999999999999" x14ac:dyDescent="0.45">
      <c r="A97" s="312" t="s">
        <v>183</v>
      </c>
      <c r="B97" s="366"/>
      <c r="C97" s="367"/>
      <c r="D97" s="367"/>
      <c r="E97" s="422"/>
      <c r="F97" s="367"/>
      <c r="G97" s="367"/>
      <c r="H97" s="368"/>
      <c r="I97" s="369"/>
      <c r="J97" s="369"/>
      <c r="K97" s="369"/>
      <c r="L97" s="314"/>
    </row>
    <row r="98" spans="1:12" s="284" customFormat="1" ht="20.399999999999999" x14ac:dyDescent="0.45">
      <c r="A98" s="360" t="s">
        <v>176</v>
      </c>
      <c r="B98" s="361" t="s">
        <v>169</v>
      </c>
      <c r="C98" s="362">
        <v>99.959100000000007</v>
      </c>
      <c r="D98" s="362"/>
      <c r="E98" s="421" t="s">
        <v>343</v>
      </c>
      <c r="F98" s="362">
        <v>1.05</v>
      </c>
      <c r="G98" s="362">
        <v>1.0549999999999999</v>
      </c>
      <c r="H98" s="363" t="s">
        <v>170</v>
      </c>
      <c r="I98" s="364">
        <v>60000000</v>
      </c>
      <c r="J98" s="364">
        <v>60000000</v>
      </c>
      <c r="K98" s="364">
        <v>59975510</v>
      </c>
      <c r="L98" s="365">
        <v>1</v>
      </c>
    </row>
    <row r="99" spans="1:12" s="284" customFormat="1" ht="20.399999999999999" x14ac:dyDescent="0.45">
      <c r="A99" s="360" t="s">
        <v>176</v>
      </c>
      <c r="B99" s="361" t="s">
        <v>169</v>
      </c>
      <c r="C99" s="362">
        <v>99.956199999999995</v>
      </c>
      <c r="D99" s="362"/>
      <c r="E99" s="421" t="s">
        <v>275</v>
      </c>
      <c r="F99" s="362">
        <v>1.05</v>
      </c>
      <c r="G99" s="362">
        <v>1.0549999999999999</v>
      </c>
      <c r="H99" s="363" t="s">
        <v>170</v>
      </c>
      <c r="I99" s="364">
        <v>20000000</v>
      </c>
      <c r="J99" s="364">
        <v>20000000</v>
      </c>
      <c r="K99" s="364">
        <v>19991253.829999998</v>
      </c>
      <c r="L99" s="365">
        <v>1</v>
      </c>
    </row>
    <row r="100" spans="1:12" s="284" customFormat="1" ht="20.399999999999999" x14ac:dyDescent="0.45">
      <c r="A100" s="360" t="s">
        <v>176</v>
      </c>
      <c r="B100" s="361" t="s">
        <v>169</v>
      </c>
      <c r="C100" s="362">
        <v>99.8078</v>
      </c>
      <c r="D100" s="362"/>
      <c r="E100" s="421" t="s">
        <v>185</v>
      </c>
      <c r="F100" s="362">
        <v>2.31</v>
      </c>
      <c r="G100" s="362">
        <v>2.3340000000000001</v>
      </c>
      <c r="H100" s="363" t="s">
        <v>170</v>
      </c>
      <c r="I100" s="364">
        <v>9859000</v>
      </c>
      <c r="J100" s="364">
        <v>9859000</v>
      </c>
      <c r="K100" s="364">
        <v>9840057.8900000006</v>
      </c>
      <c r="L100" s="365">
        <v>1</v>
      </c>
    </row>
    <row r="101" spans="1:12" s="284" customFormat="1" ht="20.399999999999999" x14ac:dyDescent="0.45">
      <c r="A101" s="360" t="s">
        <v>176</v>
      </c>
      <c r="B101" s="361" t="s">
        <v>169</v>
      </c>
      <c r="C101" s="362">
        <v>99.801400000000001</v>
      </c>
      <c r="D101" s="362"/>
      <c r="E101" s="421" t="s">
        <v>184</v>
      </c>
      <c r="F101" s="362">
        <v>2.31</v>
      </c>
      <c r="G101" s="362">
        <v>2.3340000000000001</v>
      </c>
      <c r="H101" s="363" t="s">
        <v>170</v>
      </c>
      <c r="I101" s="364">
        <v>12000000</v>
      </c>
      <c r="J101" s="364">
        <v>12000000</v>
      </c>
      <c r="K101" s="364">
        <v>11976177.390000001</v>
      </c>
      <c r="L101" s="365">
        <v>1</v>
      </c>
    </row>
    <row r="102" spans="1:12" s="284" customFormat="1" ht="20.399999999999999" x14ac:dyDescent="0.45">
      <c r="A102" s="360" t="s">
        <v>176</v>
      </c>
      <c r="B102" s="361" t="s">
        <v>169</v>
      </c>
      <c r="C102" s="362">
        <v>99.795000000000002</v>
      </c>
      <c r="D102" s="362"/>
      <c r="E102" s="421" t="s">
        <v>186</v>
      </c>
      <c r="F102" s="362">
        <v>2.31</v>
      </c>
      <c r="G102" s="362">
        <v>2.3340000000000001</v>
      </c>
      <c r="H102" s="363" t="s">
        <v>170</v>
      </c>
      <c r="I102" s="364">
        <v>4000000</v>
      </c>
      <c r="J102" s="364">
        <v>4000000</v>
      </c>
      <c r="K102" s="364">
        <v>3991803.5</v>
      </c>
      <c r="L102" s="365">
        <v>1</v>
      </c>
    </row>
    <row r="103" spans="1:12" s="284" customFormat="1" ht="20.399999999999999" x14ac:dyDescent="0.45">
      <c r="A103" s="360" t="s">
        <v>176</v>
      </c>
      <c r="B103" s="361" t="s">
        <v>169</v>
      </c>
      <c r="C103" s="362">
        <v>99.788600000000002</v>
      </c>
      <c r="D103" s="362"/>
      <c r="E103" s="421" t="s">
        <v>344</v>
      </c>
      <c r="F103" s="362">
        <v>2.31</v>
      </c>
      <c r="G103" s="362">
        <v>2.3340000000000001</v>
      </c>
      <c r="H103" s="363" t="s">
        <v>170</v>
      </c>
      <c r="I103" s="364">
        <v>25750000</v>
      </c>
      <c r="J103" s="364">
        <v>25750000</v>
      </c>
      <c r="K103" s="364">
        <v>25695589.600000001</v>
      </c>
      <c r="L103" s="365">
        <v>5</v>
      </c>
    </row>
    <row r="104" spans="1:12" s="284" customFormat="1" ht="20.399999999999999" x14ac:dyDescent="0.45">
      <c r="A104" s="360" t="s">
        <v>176</v>
      </c>
      <c r="B104" s="361" t="s">
        <v>169</v>
      </c>
      <c r="C104" s="362">
        <v>99.750299999999996</v>
      </c>
      <c r="D104" s="362"/>
      <c r="E104" s="421" t="s">
        <v>345</v>
      </c>
      <c r="F104" s="362">
        <v>2.31</v>
      </c>
      <c r="G104" s="362">
        <v>2.3330000000000002</v>
      </c>
      <c r="H104" s="363" t="s">
        <v>170</v>
      </c>
      <c r="I104" s="364">
        <v>4000000</v>
      </c>
      <c r="J104" s="364">
        <v>4000000</v>
      </c>
      <c r="K104" s="364">
        <v>3990014.99</v>
      </c>
      <c r="L104" s="365">
        <v>1</v>
      </c>
    </row>
    <row r="105" spans="1:12" s="284" customFormat="1" ht="20.399999999999999" x14ac:dyDescent="0.45">
      <c r="A105" s="360" t="s">
        <v>176</v>
      </c>
      <c r="B105" s="361" t="s">
        <v>169</v>
      </c>
      <c r="C105" s="362">
        <v>99.335899999999995</v>
      </c>
      <c r="D105" s="362"/>
      <c r="E105" s="421" t="s">
        <v>245</v>
      </c>
      <c r="F105" s="362">
        <v>2.56</v>
      </c>
      <c r="G105" s="362">
        <v>2.5839999999999996</v>
      </c>
      <c r="H105" s="363" t="s">
        <v>170</v>
      </c>
      <c r="I105" s="364">
        <v>100000</v>
      </c>
      <c r="J105" s="364">
        <v>100000</v>
      </c>
      <c r="K105" s="364">
        <v>99335.99</v>
      </c>
      <c r="L105" s="365">
        <v>1</v>
      </c>
    </row>
    <row r="106" spans="1:12" s="284" customFormat="1" ht="20.399999999999999" x14ac:dyDescent="0.45">
      <c r="A106" s="360" t="s">
        <v>176</v>
      </c>
      <c r="B106" s="361" t="s">
        <v>169</v>
      </c>
      <c r="C106" s="362">
        <v>99.304000000000002</v>
      </c>
      <c r="D106" s="362"/>
      <c r="E106" s="421" t="s">
        <v>346</v>
      </c>
      <c r="F106" s="362">
        <v>2.9</v>
      </c>
      <c r="G106" s="362">
        <v>2.9319999999999999</v>
      </c>
      <c r="H106" s="363" t="s">
        <v>170</v>
      </c>
      <c r="I106" s="364">
        <v>20000000</v>
      </c>
      <c r="J106" s="364">
        <v>20000000</v>
      </c>
      <c r="K106" s="364">
        <v>19860808.829999998</v>
      </c>
      <c r="L106" s="365">
        <v>1</v>
      </c>
    </row>
    <row r="107" spans="1:12" s="284" customFormat="1" ht="20.399999999999999" x14ac:dyDescent="0.45">
      <c r="A107" s="360" t="s">
        <v>176</v>
      </c>
      <c r="B107" s="361" t="s">
        <v>169</v>
      </c>
      <c r="C107" s="362">
        <v>99.272199999999998</v>
      </c>
      <c r="D107" s="362"/>
      <c r="E107" s="421" t="s">
        <v>189</v>
      </c>
      <c r="F107" s="362">
        <v>2.9</v>
      </c>
      <c r="G107" s="362">
        <v>2.931</v>
      </c>
      <c r="H107" s="363" t="s">
        <v>170</v>
      </c>
      <c r="I107" s="364">
        <v>220000</v>
      </c>
      <c r="J107" s="364">
        <v>220000</v>
      </c>
      <c r="K107" s="364">
        <v>218399.01</v>
      </c>
      <c r="L107" s="365">
        <v>2</v>
      </c>
    </row>
    <row r="108" spans="1:12" s="284" customFormat="1" ht="20.399999999999999" x14ac:dyDescent="0.45">
      <c r="A108" s="360" t="s">
        <v>176</v>
      </c>
      <c r="B108" s="361" t="s">
        <v>169</v>
      </c>
      <c r="C108" s="362">
        <v>96.256399999999999</v>
      </c>
      <c r="D108" s="362"/>
      <c r="E108" s="421" t="s">
        <v>234</v>
      </c>
      <c r="F108" s="362">
        <v>3.9</v>
      </c>
      <c r="G108" s="362">
        <v>3.9</v>
      </c>
      <c r="H108" s="363" t="s">
        <v>170</v>
      </c>
      <c r="I108" s="364">
        <v>36000</v>
      </c>
      <c r="J108" s="364">
        <v>36000</v>
      </c>
      <c r="K108" s="364">
        <v>34652.32</v>
      </c>
      <c r="L108" s="365">
        <v>2</v>
      </c>
    </row>
    <row r="109" spans="1:12" s="283" customFormat="1" ht="20.399999999999999" x14ac:dyDescent="0.45">
      <c r="A109" s="312" t="s">
        <v>174</v>
      </c>
      <c r="B109" s="366"/>
      <c r="C109" s="367"/>
      <c r="D109" s="367"/>
      <c r="E109" s="422"/>
      <c r="F109" s="367"/>
      <c r="G109" s="367"/>
      <c r="H109" s="368"/>
      <c r="I109" s="369">
        <f>SUM(I98:I108)</f>
        <v>155965000</v>
      </c>
      <c r="J109" s="369">
        <f>SUM(J98:J108)</f>
        <v>155965000</v>
      </c>
      <c r="K109" s="369">
        <f>SUM(K98:K108)</f>
        <v>155673603.35000002</v>
      </c>
      <c r="L109" s="314">
        <f>SUM(L98:L108)</f>
        <v>17</v>
      </c>
    </row>
    <row r="110" spans="1:12" s="283" customFormat="1" ht="20.399999999999999" x14ac:dyDescent="0.45">
      <c r="A110" s="312" t="s">
        <v>192</v>
      </c>
      <c r="B110" s="366"/>
      <c r="C110" s="367"/>
      <c r="D110" s="367"/>
      <c r="E110" s="422"/>
      <c r="F110" s="367"/>
      <c r="G110" s="367"/>
      <c r="H110" s="368"/>
      <c r="I110" s="369"/>
      <c r="J110" s="369"/>
      <c r="K110" s="369"/>
      <c r="L110" s="314"/>
    </row>
    <row r="111" spans="1:12" s="284" customFormat="1" ht="20.399999999999999" x14ac:dyDescent="0.45">
      <c r="A111" s="360" t="s">
        <v>151</v>
      </c>
      <c r="B111" s="361" t="s">
        <v>169</v>
      </c>
      <c r="C111" s="362">
        <v>95.720399999999998</v>
      </c>
      <c r="D111" s="362"/>
      <c r="E111" s="421" t="s">
        <v>238</v>
      </c>
      <c r="F111" s="362">
        <v>9.25</v>
      </c>
      <c r="G111" s="362">
        <v>9.4710000000000001</v>
      </c>
      <c r="H111" s="363" t="s">
        <v>170</v>
      </c>
      <c r="I111" s="364">
        <v>200000</v>
      </c>
      <c r="J111" s="364">
        <v>200000</v>
      </c>
      <c r="K111" s="364">
        <v>191440.99</v>
      </c>
      <c r="L111" s="365">
        <v>1</v>
      </c>
    </row>
    <row r="112" spans="1:12" s="284" customFormat="1" ht="20.399999999999999" x14ac:dyDescent="0.45">
      <c r="A112" s="360" t="s">
        <v>151</v>
      </c>
      <c r="B112" s="361" t="s">
        <v>169</v>
      </c>
      <c r="C112" s="362">
        <v>95.441299999999998</v>
      </c>
      <c r="D112" s="362"/>
      <c r="E112" s="421" t="s">
        <v>229</v>
      </c>
      <c r="F112" s="362">
        <v>9.5</v>
      </c>
      <c r="G112" s="362">
        <v>9.7240000000000002</v>
      </c>
      <c r="H112" s="363" t="s">
        <v>170</v>
      </c>
      <c r="I112" s="364">
        <v>500000</v>
      </c>
      <c r="J112" s="364">
        <v>500000</v>
      </c>
      <c r="K112" s="364">
        <v>477206.75</v>
      </c>
      <c r="L112" s="365">
        <v>1</v>
      </c>
    </row>
    <row r="113" spans="1:12" s="283" customFormat="1" ht="20.399999999999999" x14ac:dyDescent="0.45">
      <c r="A113" s="312" t="s">
        <v>174</v>
      </c>
      <c r="B113" s="366"/>
      <c r="C113" s="367"/>
      <c r="D113" s="367"/>
      <c r="E113" s="422"/>
      <c r="F113" s="367"/>
      <c r="G113" s="367"/>
      <c r="H113" s="368"/>
      <c r="I113" s="369">
        <f>SUM(I111:I112)</f>
        <v>700000</v>
      </c>
      <c r="J113" s="369">
        <f t="shared" ref="J113:K113" si="9">SUM(J111:J112)</f>
        <v>700000</v>
      </c>
      <c r="K113" s="369">
        <f t="shared" si="9"/>
        <v>668647.74</v>
      </c>
      <c r="L113" s="314">
        <f>SUM(L111:L112)</f>
        <v>2</v>
      </c>
    </row>
    <row r="114" spans="1:12" s="283" customFormat="1" ht="20.399999999999999" x14ac:dyDescent="0.45">
      <c r="A114" s="312" t="s">
        <v>197</v>
      </c>
      <c r="B114" s="366"/>
      <c r="C114" s="367"/>
      <c r="D114" s="367"/>
      <c r="E114" s="422"/>
      <c r="F114" s="367"/>
      <c r="G114" s="367"/>
      <c r="H114" s="368"/>
      <c r="I114" s="369"/>
      <c r="J114" s="369"/>
      <c r="K114" s="369"/>
      <c r="L114" s="314"/>
    </row>
    <row r="115" spans="1:12" s="284" customFormat="1" ht="20.399999999999999" x14ac:dyDescent="0.45">
      <c r="A115" s="360" t="s">
        <v>198</v>
      </c>
      <c r="B115" s="361" t="s">
        <v>169</v>
      </c>
      <c r="C115" s="362">
        <v>90</v>
      </c>
      <c r="D115" s="362"/>
      <c r="E115" s="421"/>
      <c r="F115" s="362"/>
      <c r="G115" s="362"/>
      <c r="H115" s="363"/>
      <c r="I115" s="364">
        <v>179.49</v>
      </c>
      <c r="J115" s="364">
        <v>179.49</v>
      </c>
      <c r="K115" s="364">
        <v>161.54</v>
      </c>
      <c r="L115" s="365">
        <v>1</v>
      </c>
    </row>
    <row r="116" spans="1:12" s="284" customFormat="1" ht="20.399999999999999" x14ac:dyDescent="0.45">
      <c r="A116" s="360" t="s">
        <v>198</v>
      </c>
      <c r="B116" s="361" t="s">
        <v>169</v>
      </c>
      <c r="C116" s="362">
        <v>97</v>
      </c>
      <c r="D116" s="362"/>
      <c r="E116" s="421"/>
      <c r="F116" s="362"/>
      <c r="G116" s="362"/>
      <c r="H116" s="363"/>
      <c r="I116" s="364">
        <v>728.51</v>
      </c>
      <c r="J116" s="364">
        <v>728.51</v>
      </c>
      <c r="K116" s="364">
        <v>706.66</v>
      </c>
      <c r="L116" s="365">
        <v>2</v>
      </c>
    </row>
    <row r="117" spans="1:12" s="284" customFormat="1" ht="20.399999999999999" x14ac:dyDescent="0.45">
      <c r="A117" s="360" t="s">
        <v>198</v>
      </c>
      <c r="B117" s="361" t="s">
        <v>169</v>
      </c>
      <c r="C117" s="362">
        <v>98</v>
      </c>
      <c r="D117" s="362"/>
      <c r="E117" s="421"/>
      <c r="F117" s="362"/>
      <c r="G117" s="362"/>
      <c r="H117" s="363"/>
      <c r="I117" s="364">
        <v>4772.1099999999997</v>
      </c>
      <c r="J117" s="364">
        <v>4772.1099999999997</v>
      </c>
      <c r="K117" s="364">
        <v>4676.67</v>
      </c>
      <c r="L117" s="365">
        <v>9</v>
      </c>
    </row>
    <row r="118" spans="1:12" s="284" customFormat="1" ht="20.399999999999999" x14ac:dyDescent="0.45">
      <c r="A118" s="360" t="s">
        <v>198</v>
      </c>
      <c r="B118" s="361" t="s">
        <v>169</v>
      </c>
      <c r="C118" s="362">
        <v>98.5</v>
      </c>
      <c r="D118" s="362"/>
      <c r="E118" s="421"/>
      <c r="F118" s="362"/>
      <c r="G118" s="362"/>
      <c r="H118" s="363"/>
      <c r="I118" s="364">
        <v>17063.8</v>
      </c>
      <c r="J118" s="364">
        <v>17063.8</v>
      </c>
      <c r="K118" s="364">
        <v>16807.849999999999</v>
      </c>
      <c r="L118" s="365">
        <v>11</v>
      </c>
    </row>
    <row r="119" spans="1:12" s="284" customFormat="1" ht="20.399999999999999" x14ac:dyDescent="0.45">
      <c r="A119" s="360" t="s">
        <v>198</v>
      </c>
      <c r="B119" s="361" t="s">
        <v>169</v>
      </c>
      <c r="C119" s="362">
        <v>98.76</v>
      </c>
      <c r="D119" s="362"/>
      <c r="E119" s="421"/>
      <c r="F119" s="362"/>
      <c r="G119" s="362"/>
      <c r="H119" s="363"/>
      <c r="I119" s="364">
        <v>5016.4799999999996</v>
      </c>
      <c r="J119" s="364">
        <v>5016.4799999999996</v>
      </c>
      <c r="K119" s="364">
        <v>4954.28</v>
      </c>
      <c r="L119" s="365">
        <v>1</v>
      </c>
    </row>
    <row r="120" spans="1:12" s="284" customFormat="1" ht="20.399999999999999" x14ac:dyDescent="0.45">
      <c r="A120" s="360" t="s">
        <v>198</v>
      </c>
      <c r="B120" s="361" t="s">
        <v>169</v>
      </c>
      <c r="C120" s="362">
        <v>99</v>
      </c>
      <c r="D120" s="362"/>
      <c r="E120" s="421"/>
      <c r="F120" s="362"/>
      <c r="G120" s="362"/>
      <c r="H120" s="363"/>
      <c r="I120" s="364">
        <v>169659.9499999999</v>
      </c>
      <c r="J120" s="364">
        <v>169659.9499999999</v>
      </c>
      <c r="K120" s="364">
        <v>167963.32999999996</v>
      </c>
      <c r="L120" s="365">
        <v>41</v>
      </c>
    </row>
    <row r="121" spans="1:12" s="284" customFormat="1" ht="20.399999999999999" x14ac:dyDescent="0.45">
      <c r="A121" s="360" t="s">
        <v>198</v>
      </c>
      <c r="B121" s="361" t="s">
        <v>169</v>
      </c>
      <c r="C121" s="362">
        <v>99.01</v>
      </c>
      <c r="D121" s="362"/>
      <c r="E121" s="421"/>
      <c r="F121" s="362"/>
      <c r="G121" s="362"/>
      <c r="H121" s="363"/>
      <c r="I121" s="364">
        <v>6891.26</v>
      </c>
      <c r="J121" s="364">
        <v>6891.26</v>
      </c>
      <c r="K121" s="364">
        <v>6823.04</v>
      </c>
      <c r="L121" s="365">
        <v>3</v>
      </c>
    </row>
    <row r="122" spans="1:12" s="284" customFormat="1" ht="20.399999999999999" x14ac:dyDescent="0.45">
      <c r="A122" s="360" t="s">
        <v>198</v>
      </c>
      <c r="B122" s="361" t="s">
        <v>169</v>
      </c>
      <c r="C122" s="362">
        <v>99.02</v>
      </c>
      <c r="D122" s="362"/>
      <c r="E122" s="421"/>
      <c r="F122" s="362"/>
      <c r="G122" s="362"/>
      <c r="H122" s="363"/>
      <c r="I122" s="364">
        <v>6858.77</v>
      </c>
      <c r="J122" s="364">
        <v>6858.77</v>
      </c>
      <c r="K122" s="364">
        <v>6791.56</v>
      </c>
      <c r="L122" s="365">
        <v>2</v>
      </c>
    </row>
    <row r="123" spans="1:12" s="284" customFormat="1" ht="20.399999999999999" x14ac:dyDescent="0.45">
      <c r="A123" s="360" t="s">
        <v>198</v>
      </c>
      <c r="B123" s="361" t="s">
        <v>169</v>
      </c>
      <c r="C123" s="362">
        <v>99.05</v>
      </c>
      <c r="D123" s="362"/>
      <c r="E123" s="421"/>
      <c r="F123" s="362"/>
      <c r="G123" s="362"/>
      <c r="H123" s="363"/>
      <c r="I123" s="364">
        <v>93710.069999999992</v>
      </c>
      <c r="J123" s="364">
        <v>93710.069999999992</v>
      </c>
      <c r="K123" s="364">
        <v>92819.83</v>
      </c>
      <c r="L123" s="365">
        <v>15</v>
      </c>
    </row>
    <row r="124" spans="1:12" s="284" customFormat="1" ht="20.399999999999999" x14ac:dyDescent="0.45">
      <c r="A124" s="360" t="s">
        <v>198</v>
      </c>
      <c r="B124" s="361" t="s">
        <v>169</v>
      </c>
      <c r="C124" s="362">
        <v>99.06</v>
      </c>
      <c r="D124" s="362"/>
      <c r="E124" s="421"/>
      <c r="F124" s="362"/>
      <c r="G124" s="362"/>
      <c r="H124" s="363"/>
      <c r="I124" s="364">
        <v>12962.259999999998</v>
      </c>
      <c r="J124" s="364">
        <v>12962.259999999998</v>
      </c>
      <c r="K124" s="364">
        <v>12840.41</v>
      </c>
      <c r="L124" s="365">
        <v>3</v>
      </c>
    </row>
    <row r="125" spans="1:12" s="284" customFormat="1" ht="20.399999999999999" x14ac:dyDescent="0.45">
      <c r="A125" s="360" t="s">
        <v>198</v>
      </c>
      <c r="B125" s="361" t="s">
        <v>169</v>
      </c>
      <c r="C125" s="362">
        <v>99.07</v>
      </c>
      <c r="D125" s="362"/>
      <c r="E125" s="421"/>
      <c r="F125" s="362"/>
      <c r="G125" s="362"/>
      <c r="H125" s="363"/>
      <c r="I125" s="364">
        <v>56096.350000000006</v>
      </c>
      <c r="J125" s="364">
        <v>56096.350000000006</v>
      </c>
      <c r="K125" s="364">
        <v>55574.649999999994</v>
      </c>
      <c r="L125" s="365">
        <v>3</v>
      </c>
    </row>
    <row r="126" spans="1:12" s="284" customFormat="1" ht="20.399999999999999" x14ac:dyDescent="0.45">
      <c r="A126" s="360" t="s">
        <v>198</v>
      </c>
      <c r="B126" s="361" t="s">
        <v>169</v>
      </c>
      <c r="C126" s="362">
        <v>99.1</v>
      </c>
      <c r="D126" s="362"/>
      <c r="E126" s="421"/>
      <c r="F126" s="362"/>
      <c r="G126" s="362"/>
      <c r="H126" s="363"/>
      <c r="I126" s="364">
        <v>205222.77</v>
      </c>
      <c r="J126" s="364">
        <v>205222.77</v>
      </c>
      <c r="K126" s="364">
        <v>203375.77000000002</v>
      </c>
      <c r="L126" s="365">
        <v>14</v>
      </c>
    </row>
    <row r="127" spans="1:12" s="284" customFormat="1" ht="20.399999999999999" x14ac:dyDescent="0.45">
      <c r="A127" s="360" t="s">
        <v>198</v>
      </c>
      <c r="B127" s="361" t="s">
        <v>169</v>
      </c>
      <c r="C127" s="362">
        <v>99.11</v>
      </c>
      <c r="D127" s="362"/>
      <c r="E127" s="421"/>
      <c r="F127" s="362"/>
      <c r="G127" s="362"/>
      <c r="H127" s="363"/>
      <c r="I127" s="364">
        <v>20175.68</v>
      </c>
      <c r="J127" s="364">
        <v>20175.68</v>
      </c>
      <c r="K127" s="364">
        <v>19996.11</v>
      </c>
      <c r="L127" s="365">
        <v>3</v>
      </c>
    </row>
    <row r="128" spans="1:12" s="284" customFormat="1" ht="20.399999999999999" x14ac:dyDescent="0.45">
      <c r="A128" s="360" t="s">
        <v>198</v>
      </c>
      <c r="B128" s="361" t="s">
        <v>169</v>
      </c>
      <c r="C128" s="362">
        <v>99.127700000000004</v>
      </c>
      <c r="D128" s="362"/>
      <c r="E128" s="421"/>
      <c r="F128" s="362"/>
      <c r="G128" s="362"/>
      <c r="H128" s="363"/>
      <c r="I128" s="364">
        <v>21117.96</v>
      </c>
      <c r="J128" s="364">
        <v>21117.96</v>
      </c>
      <c r="K128" s="364">
        <v>20933.75</v>
      </c>
      <c r="L128" s="365">
        <v>1</v>
      </c>
    </row>
    <row r="129" spans="1:12" s="284" customFormat="1" ht="20.399999999999999" x14ac:dyDescent="0.45">
      <c r="A129" s="360" t="s">
        <v>198</v>
      </c>
      <c r="B129" s="361" t="s">
        <v>169</v>
      </c>
      <c r="C129" s="362">
        <v>99.15</v>
      </c>
      <c r="D129" s="362"/>
      <c r="E129" s="421"/>
      <c r="F129" s="362"/>
      <c r="G129" s="362"/>
      <c r="H129" s="363"/>
      <c r="I129" s="364">
        <v>92205.889999999985</v>
      </c>
      <c r="J129" s="364">
        <v>92205.889999999985</v>
      </c>
      <c r="K129" s="364">
        <v>91422.15</v>
      </c>
      <c r="L129" s="365">
        <v>8</v>
      </c>
    </row>
    <row r="130" spans="1:12" s="284" customFormat="1" ht="20.399999999999999" x14ac:dyDescent="0.45">
      <c r="A130" s="360" t="s">
        <v>198</v>
      </c>
      <c r="B130" s="361" t="s">
        <v>169</v>
      </c>
      <c r="C130" s="362">
        <v>99.16</v>
      </c>
      <c r="D130" s="362"/>
      <c r="E130" s="421"/>
      <c r="F130" s="362"/>
      <c r="G130" s="362"/>
      <c r="H130" s="363"/>
      <c r="I130" s="364">
        <v>9682.9699999999993</v>
      </c>
      <c r="J130" s="364">
        <v>9682.9699999999993</v>
      </c>
      <c r="K130" s="364">
        <v>9601.6299999999992</v>
      </c>
      <c r="L130" s="365">
        <v>1</v>
      </c>
    </row>
    <row r="131" spans="1:12" s="284" customFormat="1" ht="20.399999999999999" x14ac:dyDescent="0.45">
      <c r="A131" s="360" t="s">
        <v>198</v>
      </c>
      <c r="B131" s="361" t="s">
        <v>169</v>
      </c>
      <c r="C131" s="362">
        <v>99.19</v>
      </c>
      <c r="D131" s="362"/>
      <c r="E131" s="421"/>
      <c r="F131" s="362"/>
      <c r="G131" s="362"/>
      <c r="H131" s="363"/>
      <c r="I131" s="364">
        <v>18842.349999999999</v>
      </c>
      <c r="J131" s="364">
        <v>18842.349999999999</v>
      </c>
      <c r="K131" s="364">
        <v>18689.73</v>
      </c>
      <c r="L131" s="365">
        <v>1</v>
      </c>
    </row>
    <row r="132" spans="1:12" s="284" customFormat="1" ht="20.399999999999999" x14ac:dyDescent="0.45">
      <c r="A132" s="360" t="s">
        <v>198</v>
      </c>
      <c r="B132" s="361" t="s">
        <v>169</v>
      </c>
      <c r="C132" s="362">
        <v>99.190200000000004</v>
      </c>
      <c r="D132" s="362"/>
      <c r="E132" s="421"/>
      <c r="F132" s="362"/>
      <c r="G132" s="362"/>
      <c r="H132" s="363"/>
      <c r="I132" s="364">
        <v>20316.93</v>
      </c>
      <c r="J132" s="364">
        <v>20316.93</v>
      </c>
      <c r="K132" s="364">
        <v>20152.400000000001</v>
      </c>
      <c r="L132" s="365">
        <v>1</v>
      </c>
    </row>
    <row r="133" spans="1:12" s="284" customFormat="1" ht="20.399999999999999" x14ac:dyDescent="0.45">
      <c r="A133" s="360" t="s">
        <v>198</v>
      </c>
      <c r="B133" s="361" t="s">
        <v>169</v>
      </c>
      <c r="C133" s="362">
        <v>99.2</v>
      </c>
      <c r="D133" s="362"/>
      <c r="E133" s="421"/>
      <c r="F133" s="362"/>
      <c r="G133" s="362"/>
      <c r="H133" s="363"/>
      <c r="I133" s="364">
        <v>129459</v>
      </c>
      <c r="J133" s="364">
        <v>129459</v>
      </c>
      <c r="K133" s="364">
        <v>128423.31999999999</v>
      </c>
      <c r="L133" s="365">
        <v>9</v>
      </c>
    </row>
    <row r="134" spans="1:12" s="284" customFormat="1" ht="20.399999999999999" x14ac:dyDescent="0.45">
      <c r="A134" s="360" t="s">
        <v>198</v>
      </c>
      <c r="B134" s="361" t="s">
        <v>169</v>
      </c>
      <c r="C134" s="362">
        <v>99.21</v>
      </c>
      <c r="D134" s="362"/>
      <c r="E134" s="421"/>
      <c r="F134" s="362"/>
      <c r="G134" s="362"/>
      <c r="H134" s="363"/>
      <c r="I134" s="364">
        <v>30421.690000000002</v>
      </c>
      <c r="J134" s="364">
        <v>30421.690000000002</v>
      </c>
      <c r="K134" s="364">
        <v>30181.35</v>
      </c>
      <c r="L134" s="365">
        <v>2</v>
      </c>
    </row>
    <row r="135" spans="1:12" s="284" customFormat="1" ht="20.399999999999999" x14ac:dyDescent="0.45">
      <c r="A135" s="360" t="s">
        <v>198</v>
      </c>
      <c r="B135" s="361" t="s">
        <v>169</v>
      </c>
      <c r="C135" s="362">
        <v>99.25</v>
      </c>
      <c r="D135" s="362"/>
      <c r="E135" s="421"/>
      <c r="F135" s="362"/>
      <c r="G135" s="362"/>
      <c r="H135" s="363"/>
      <c r="I135" s="364">
        <v>120262.03000000001</v>
      </c>
      <c r="J135" s="364">
        <v>120262.03000000001</v>
      </c>
      <c r="K135" s="364">
        <v>119360.07</v>
      </c>
      <c r="L135" s="365">
        <v>4</v>
      </c>
    </row>
    <row r="136" spans="1:12" s="284" customFormat="1" ht="20.399999999999999" x14ac:dyDescent="0.45">
      <c r="A136" s="360" t="s">
        <v>198</v>
      </c>
      <c r="B136" s="361" t="s">
        <v>169</v>
      </c>
      <c r="C136" s="362">
        <v>99.3</v>
      </c>
      <c r="D136" s="362"/>
      <c r="E136" s="421"/>
      <c r="F136" s="362"/>
      <c r="G136" s="362"/>
      <c r="H136" s="363"/>
      <c r="I136" s="364">
        <v>161571.53</v>
      </c>
      <c r="J136" s="364">
        <v>161571.53</v>
      </c>
      <c r="K136" s="364">
        <v>160440.53</v>
      </c>
      <c r="L136" s="365">
        <v>6</v>
      </c>
    </row>
    <row r="137" spans="1:12" s="284" customFormat="1" ht="20.399999999999999" x14ac:dyDescent="0.45">
      <c r="A137" s="360" t="s">
        <v>198</v>
      </c>
      <c r="B137" s="361" t="s">
        <v>169</v>
      </c>
      <c r="C137" s="362">
        <v>99.35</v>
      </c>
      <c r="D137" s="362"/>
      <c r="E137" s="421"/>
      <c r="F137" s="362"/>
      <c r="G137" s="362"/>
      <c r="H137" s="363"/>
      <c r="I137" s="364">
        <v>170770.33000000002</v>
      </c>
      <c r="J137" s="364">
        <v>170770.33000000002</v>
      </c>
      <c r="K137" s="364">
        <v>169660.32</v>
      </c>
      <c r="L137" s="365">
        <v>4</v>
      </c>
    </row>
    <row r="138" spans="1:12" s="284" customFormat="1" ht="20.399999999999999" x14ac:dyDescent="0.45">
      <c r="A138" s="360" t="s">
        <v>198</v>
      </c>
      <c r="B138" s="361" t="s">
        <v>169</v>
      </c>
      <c r="C138" s="362">
        <v>99.387500000000003</v>
      </c>
      <c r="D138" s="362"/>
      <c r="E138" s="421"/>
      <c r="F138" s="362"/>
      <c r="G138" s="362"/>
      <c r="H138" s="363"/>
      <c r="I138" s="364">
        <v>53091.4</v>
      </c>
      <c r="J138" s="364">
        <v>53091.4</v>
      </c>
      <c r="K138" s="364">
        <v>52766.22</v>
      </c>
      <c r="L138" s="365">
        <v>1</v>
      </c>
    </row>
    <row r="139" spans="1:12" s="284" customFormat="1" ht="20.399999999999999" x14ac:dyDescent="0.45">
      <c r="A139" s="360" t="s">
        <v>198</v>
      </c>
      <c r="B139" s="361" t="s">
        <v>169</v>
      </c>
      <c r="C139" s="362">
        <v>99.4</v>
      </c>
      <c r="D139" s="362"/>
      <c r="E139" s="421"/>
      <c r="F139" s="362"/>
      <c r="G139" s="362"/>
      <c r="H139" s="363"/>
      <c r="I139" s="364">
        <v>45048.83</v>
      </c>
      <c r="J139" s="364">
        <v>45048.83</v>
      </c>
      <c r="K139" s="364">
        <v>44778.54</v>
      </c>
      <c r="L139" s="365">
        <v>1</v>
      </c>
    </row>
    <row r="140" spans="1:12" s="284" customFormat="1" ht="20.399999999999999" x14ac:dyDescent="0.45">
      <c r="A140" s="360" t="s">
        <v>198</v>
      </c>
      <c r="B140" s="361" t="s">
        <v>169</v>
      </c>
      <c r="C140" s="362">
        <v>99.405000000000001</v>
      </c>
      <c r="D140" s="362"/>
      <c r="E140" s="421"/>
      <c r="F140" s="362"/>
      <c r="G140" s="362"/>
      <c r="H140" s="363"/>
      <c r="I140" s="364">
        <v>54291.88</v>
      </c>
      <c r="J140" s="364">
        <v>54291.88</v>
      </c>
      <c r="K140" s="364">
        <v>53968.84</v>
      </c>
      <c r="L140" s="365">
        <v>1</v>
      </c>
    </row>
    <row r="141" spans="1:12" s="284" customFormat="1" ht="20.399999999999999" x14ac:dyDescent="0.45">
      <c r="A141" s="360" t="s">
        <v>198</v>
      </c>
      <c r="B141" s="361" t="s">
        <v>169</v>
      </c>
      <c r="C141" s="362">
        <v>99.45</v>
      </c>
      <c r="D141" s="362"/>
      <c r="E141" s="421"/>
      <c r="F141" s="362"/>
      <c r="G141" s="362"/>
      <c r="H141" s="363"/>
      <c r="I141" s="364">
        <v>220955.94</v>
      </c>
      <c r="J141" s="364">
        <v>220955.94</v>
      </c>
      <c r="K141" s="364">
        <v>219740.68000000002</v>
      </c>
      <c r="L141" s="365">
        <v>3</v>
      </c>
    </row>
    <row r="142" spans="1:12" s="284" customFormat="1" ht="20.399999999999999" x14ac:dyDescent="0.45">
      <c r="A142" s="360" t="s">
        <v>198</v>
      </c>
      <c r="B142" s="361" t="s">
        <v>169</v>
      </c>
      <c r="C142" s="362">
        <v>99.46</v>
      </c>
      <c r="D142" s="362"/>
      <c r="E142" s="421"/>
      <c r="F142" s="362"/>
      <c r="G142" s="362"/>
      <c r="H142" s="363"/>
      <c r="I142" s="364">
        <v>34276.85</v>
      </c>
      <c r="J142" s="364">
        <v>34276.85</v>
      </c>
      <c r="K142" s="364">
        <v>34091.760000000002</v>
      </c>
      <c r="L142" s="365">
        <v>1</v>
      </c>
    </row>
    <row r="143" spans="1:12" s="284" customFormat="1" ht="20.399999999999999" x14ac:dyDescent="0.45">
      <c r="A143" s="360" t="s">
        <v>198</v>
      </c>
      <c r="B143" s="361" t="s">
        <v>169</v>
      </c>
      <c r="C143" s="362">
        <v>99.497399999999999</v>
      </c>
      <c r="D143" s="362"/>
      <c r="E143" s="421"/>
      <c r="F143" s="362"/>
      <c r="G143" s="362"/>
      <c r="H143" s="363"/>
      <c r="I143" s="364">
        <v>150000</v>
      </c>
      <c r="J143" s="364">
        <v>150000</v>
      </c>
      <c r="K143" s="364">
        <v>149246.1</v>
      </c>
      <c r="L143" s="365">
        <v>1</v>
      </c>
    </row>
    <row r="144" spans="1:12" s="284" customFormat="1" ht="20.399999999999999" x14ac:dyDescent="0.45">
      <c r="A144" s="360" t="s">
        <v>198</v>
      </c>
      <c r="B144" s="361" t="s">
        <v>169</v>
      </c>
      <c r="C144" s="362">
        <v>99.5</v>
      </c>
      <c r="D144" s="362"/>
      <c r="E144" s="421"/>
      <c r="F144" s="362"/>
      <c r="G144" s="362"/>
      <c r="H144" s="363"/>
      <c r="I144" s="364">
        <v>684645.7300000001</v>
      </c>
      <c r="J144" s="364">
        <v>684645.7300000001</v>
      </c>
      <c r="K144" s="364">
        <v>681222.5</v>
      </c>
      <c r="L144" s="365">
        <v>8</v>
      </c>
    </row>
    <row r="145" spans="1:12" s="284" customFormat="1" ht="20.399999999999999" x14ac:dyDescent="0.45">
      <c r="A145" s="360" t="s">
        <v>198</v>
      </c>
      <c r="B145" s="361" t="s">
        <v>169</v>
      </c>
      <c r="C145" s="362">
        <v>99.504999999999995</v>
      </c>
      <c r="D145" s="362"/>
      <c r="E145" s="421"/>
      <c r="F145" s="362"/>
      <c r="G145" s="362"/>
      <c r="H145" s="363"/>
      <c r="I145" s="364">
        <v>131220.24</v>
      </c>
      <c r="J145" s="364">
        <v>131220.24</v>
      </c>
      <c r="K145" s="364">
        <v>130570.7</v>
      </c>
      <c r="L145" s="365">
        <v>1</v>
      </c>
    </row>
    <row r="146" spans="1:12" s="284" customFormat="1" ht="20.399999999999999" x14ac:dyDescent="0.45">
      <c r="A146" s="360" t="s">
        <v>198</v>
      </c>
      <c r="B146" s="361" t="s">
        <v>169</v>
      </c>
      <c r="C146" s="362">
        <v>99.51</v>
      </c>
      <c r="D146" s="362"/>
      <c r="E146" s="421"/>
      <c r="F146" s="362"/>
      <c r="G146" s="362"/>
      <c r="H146" s="363"/>
      <c r="I146" s="364">
        <v>31819.279999999999</v>
      </c>
      <c r="J146" s="364">
        <v>31819.279999999999</v>
      </c>
      <c r="K146" s="364">
        <v>31663.37</v>
      </c>
      <c r="L146" s="365">
        <v>1</v>
      </c>
    </row>
    <row r="147" spans="1:12" s="284" customFormat="1" ht="20.399999999999999" x14ac:dyDescent="0.45">
      <c r="A147" s="360" t="s">
        <v>198</v>
      </c>
      <c r="B147" s="361" t="s">
        <v>169</v>
      </c>
      <c r="C147" s="362">
        <v>99.58</v>
      </c>
      <c r="D147" s="362"/>
      <c r="E147" s="421"/>
      <c r="F147" s="362"/>
      <c r="G147" s="362"/>
      <c r="H147" s="363"/>
      <c r="I147" s="364">
        <v>179881.45</v>
      </c>
      <c r="J147" s="364">
        <v>179881.45</v>
      </c>
      <c r="K147" s="364">
        <v>179125.95</v>
      </c>
      <c r="L147" s="365">
        <v>1</v>
      </c>
    </row>
    <row r="148" spans="1:12" s="284" customFormat="1" ht="20.399999999999999" x14ac:dyDescent="0.45">
      <c r="A148" s="360" t="s">
        <v>198</v>
      </c>
      <c r="B148" s="361" t="s">
        <v>169</v>
      </c>
      <c r="C148" s="362">
        <v>99.6</v>
      </c>
      <c r="D148" s="362"/>
      <c r="E148" s="421"/>
      <c r="F148" s="362"/>
      <c r="G148" s="362"/>
      <c r="H148" s="363"/>
      <c r="I148" s="364">
        <v>542758.89</v>
      </c>
      <c r="J148" s="364">
        <v>542758.89</v>
      </c>
      <c r="K148" s="364">
        <v>540587.85000000009</v>
      </c>
      <c r="L148" s="365">
        <v>3</v>
      </c>
    </row>
    <row r="149" spans="1:12" s="284" customFormat="1" ht="20.399999999999999" x14ac:dyDescent="0.45">
      <c r="A149" s="360" t="s">
        <v>198</v>
      </c>
      <c r="B149" s="361" t="s">
        <v>169</v>
      </c>
      <c r="C149" s="362">
        <v>99.628</v>
      </c>
      <c r="D149" s="362"/>
      <c r="E149" s="421"/>
      <c r="F149" s="362"/>
      <c r="G149" s="362"/>
      <c r="H149" s="363"/>
      <c r="I149" s="364">
        <v>229349.13</v>
      </c>
      <c r="J149" s="364">
        <v>229349.13</v>
      </c>
      <c r="K149" s="364">
        <v>228495.95</v>
      </c>
      <c r="L149" s="365">
        <v>1</v>
      </c>
    </row>
    <row r="150" spans="1:12" s="284" customFormat="1" ht="20.399999999999999" x14ac:dyDescent="0.45">
      <c r="A150" s="360" t="s">
        <v>198</v>
      </c>
      <c r="B150" s="361" t="s">
        <v>169</v>
      </c>
      <c r="C150" s="362">
        <v>99.64</v>
      </c>
      <c r="D150" s="362"/>
      <c r="E150" s="421"/>
      <c r="F150" s="362"/>
      <c r="G150" s="362"/>
      <c r="H150" s="363"/>
      <c r="I150" s="364">
        <v>240000</v>
      </c>
      <c r="J150" s="364">
        <v>240000</v>
      </c>
      <c r="K150" s="364">
        <v>239136</v>
      </c>
      <c r="L150" s="365">
        <v>1</v>
      </c>
    </row>
    <row r="151" spans="1:12" s="284" customFormat="1" ht="20.399999999999999" x14ac:dyDescent="0.45">
      <c r="A151" s="360" t="s">
        <v>198</v>
      </c>
      <c r="B151" s="361" t="s">
        <v>169</v>
      </c>
      <c r="C151" s="362">
        <v>99.65</v>
      </c>
      <c r="D151" s="362"/>
      <c r="E151" s="421"/>
      <c r="F151" s="362"/>
      <c r="G151" s="362"/>
      <c r="H151" s="363"/>
      <c r="I151" s="364">
        <v>1290559.1400000001</v>
      </c>
      <c r="J151" s="364">
        <v>1290559.1400000001</v>
      </c>
      <c r="K151" s="364">
        <v>1286042.19</v>
      </c>
      <c r="L151" s="365">
        <v>8</v>
      </c>
    </row>
    <row r="152" spans="1:12" s="284" customFormat="1" ht="20.399999999999999" x14ac:dyDescent="0.45">
      <c r="A152" s="360" t="s">
        <v>198</v>
      </c>
      <c r="B152" s="361" t="s">
        <v>169</v>
      </c>
      <c r="C152" s="362">
        <v>99.7</v>
      </c>
      <c r="D152" s="362"/>
      <c r="E152" s="421"/>
      <c r="F152" s="362"/>
      <c r="G152" s="362"/>
      <c r="H152" s="363"/>
      <c r="I152" s="364">
        <v>668355.38</v>
      </c>
      <c r="J152" s="364">
        <v>668355.38</v>
      </c>
      <c r="K152" s="364">
        <v>666350.31000000006</v>
      </c>
      <c r="L152" s="365">
        <v>4</v>
      </c>
    </row>
    <row r="153" spans="1:12" s="284" customFormat="1" ht="20.399999999999999" x14ac:dyDescent="0.45">
      <c r="A153" s="360" t="s">
        <v>198</v>
      </c>
      <c r="B153" s="361" t="s">
        <v>169</v>
      </c>
      <c r="C153" s="362">
        <v>99.71</v>
      </c>
      <c r="D153" s="362"/>
      <c r="E153" s="421"/>
      <c r="F153" s="362"/>
      <c r="G153" s="362"/>
      <c r="H153" s="363"/>
      <c r="I153" s="364">
        <v>175352.47</v>
      </c>
      <c r="J153" s="364">
        <v>175352.47</v>
      </c>
      <c r="K153" s="364">
        <v>174843.95</v>
      </c>
      <c r="L153" s="365">
        <v>1</v>
      </c>
    </row>
    <row r="154" spans="1:12" s="284" customFormat="1" ht="20.399999999999999" x14ac:dyDescent="0.45">
      <c r="A154" s="360" t="s">
        <v>198</v>
      </c>
      <c r="B154" s="361" t="s">
        <v>169</v>
      </c>
      <c r="C154" s="362">
        <v>99.72</v>
      </c>
      <c r="D154" s="362"/>
      <c r="E154" s="421"/>
      <c r="F154" s="362"/>
      <c r="G154" s="362"/>
      <c r="H154" s="363"/>
      <c r="I154" s="364">
        <v>88748.34</v>
      </c>
      <c r="J154" s="364">
        <v>88748.34</v>
      </c>
      <c r="K154" s="364">
        <v>88499.839999999997</v>
      </c>
      <c r="L154" s="365">
        <v>1</v>
      </c>
    </row>
    <row r="155" spans="1:12" s="284" customFormat="1" ht="20.399999999999999" x14ac:dyDescent="0.45">
      <c r="A155" s="360" t="s">
        <v>198</v>
      </c>
      <c r="B155" s="361" t="s">
        <v>169</v>
      </c>
      <c r="C155" s="362">
        <v>99.73</v>
      </c>
      <c r="D155" s="362"/>
      <c r="E155" s="421"/>
      <c r="F155" s="362"/>
      <c r="G155" s="362"/>
      <c r="H155" s="363"/>
      <c r="I155" s="364">
        <v>633557.61</v>
      </c>
      <c r="J155" s="364">
        <v>633557.61</v>
      </c>
      <c r="K155" s="364">
        <v>631847</v>
      </c>
      <c r="L155" s="365">
        <v>2</v>
      </c>
    </row>
    <row r="156" spans="1:12" s="284" customFormat="1" ht="20.399999999999999" x14ac:dyDescent="0.45">
      <c r="A156" s="360" t="s">
        <v>198</v>
      </c>
      <c r="B156" s="361" t="s">
        <v>169</v>
      </c>
      <c r="C156" s="362">
        <v>99.75</v>
      </c>
      <c r="D156" s="362"/>
      <c r="E156" s="421"/>
      <c r="F156" s="362"/>
      <c r="G156" s="362"/>
      <c r="H156" s="363"/>
      <c r="I156" s="364">
        <v>1267613.07</v>
      </c>
      <c r="J156" s="364">
        <v>1267613.07</v>
      </c>
      <c r="K156" s="364">
        <v>1264444.0299999998</v>
      </c>
      <c r="L156" s="365">
        <v>3</v>
      </c>
    </row>
    <row r="157" spans="1:12" s="284" customFormat="1" ht="20.399999999999999" x14ac:dyDescent="0.45">
      <c r="A157" s="360" t="s">
        <v>198</v>
      </c>
      <c r="B157" s="361" t="s">
        <v>169</v>
      </c>
      <c r="C157" s="362">
        <v>99.76</v>
      </c>
      <c r="D157" s="362"/>
      <c r="E157" s="421"/>
      <c r="F157" s="362"/>
      <c r="G157" s="362"/>
      <c r="H157" s="363"/>
      <c r="I157" s="364">
        <v>541932.92000000004</v>
      </c>
      <c r="J157" s="364">
        <v>541932.92000000004</v>
      </c>
      <c r="K157" s="364">
        <v>540632.28</v>
      </c>
      <c r="L157" s="365">
        <v>1</v>
      </c>
    </row>
    <row r="158" spans="1:12" s="284" customFormat="1" ht="20.399999999999999" x14ac:dyDescent="0.45">
      <c r="A158" s="360" t="s">
        <v>198</v>
      </c>
      <c r="B158" s="361" t="s">
        <v>169</v>
      </c>
      <c r="C158" s="362">
        <v>99.78</v>
      </c>
      <c r="D158" s="362"/>
      <c r="E158" s="421"/>
      <c r="F158" s="362"/>
      <c r="G158" s="362"/>
      <c r="H158" s="363"/>
      <c r="I158" s="364">
        <v>1843794.23</v>
      </c>
      <c r="J158" s="364">
        <v>1843794.23</v>
      </c>
      <c r="K158" s="364">
        <v>1839737.89</v>
      </c>
      <c r="L158" s="365">
        <v>2</v>
      </c>
    </row>
    <row r="159" spans="1:12" s="284" customFormat="1" ht="20.399999999999999" x14ac:dyDescent="0.45">
      <c r="A159" s="360" t="s">
        <v>198</v>
      </c>
      <c r="B159" s="361" t="s">
        <v>169</v>
      </c>
      <c r="C159" s="362">
        <v>99.79</v>
      </c>
      <c r="D159" s="362"/>
      <c r="E159" s="421"/>
      <c r="F159" s="362"/>
      <c r="G159" s="362"/>
      <c r="H159" s="363"/>
      <c r="I159" s="364">
        <v>230276.6</v>
      </c>
      <c r="J159" s="364">
        <v>230276.6</v>
      </c>
      <c r="K159" s="364">
        <v>229793.02</v>
      </c>
      <c r="L159" s="365">
        <v>1</v>
      </c>
    </row>
    <row r="160" spans="1:12" s="284" customFormat="1" ht="20.399999999999999" x14ac:dyDescent="0.45">
      <c r="A160" s="360" t="s">
        <v>198</v>
      </c>
      <c r="B160" s="361" t="s">
        <v>169</v>
      </c>
      <c r="C160" s="362">
        <v>99.8005</v>
      </c>
      <c r="D160" s="362"/>
      <c r="E160" s="421"/>
      <c r="F160" s="362"/>
      <c r="G160" s="362"/>
      <c r="H160" s="363"/>
      <c r="I160" s="364">
        <v>1099228.8400000001</v>
      </c>
      <c r="J160" s="364">
        <v>1099228.8400000001</v>
      </c>
      <c r="K160" s="364">
        <v>1097035.8799999999</v>
      </c>
      <c r="L160" s="365">
        <v>1</v>
      </c>
    </row>
    <row r="161" spans="1:12" s="283" customFormat="1" ht="20.399999999999999" x14ac:dyDescent="0.45">
      <c r="A161" s="312" t="s">
        <v>174</v>
      </c>
      <c r="B161" s="366"/>
      <c r="C161" s="367"/>
      <c r="D161" s="367"/>
      <c r="E161" s="422"/>
      <c r="F161" s="367"/>
      <c r="G161" s="367"/>
      <c r="H161" s="368"/>
      <c r="I161" s="369">
        <f>SUM(I115:I160)</f>
        <v>11810746.4</v>
      </c>
      <c r="J161" s="369">
        <f t="shared" ref="J161:K161" si="10">SUM(J115:J160)</f>
        <v>11810746.4</v>
      </c>
      <c r="K161" s="369">
        <f t="shared" si="10"/>
        <v>11766977.800000001</v>
      </c>
      <c r="L161" s="314">
        <f>SUM(L115:L160)</f>
        <v>193</v>
      </c>
    </row>
    <row r="162" spans="1:12" s="283" customFormat="1" ht="20.399999999999999" x14ac:dyDescent="0.45">
      <c r="A162" s="312" t="s">
        <v>199</v>
      </c>
      <c r="B162" s="366"/>
      <c r="C162" s="367"/>
      <c r="D162" s="367"/>
      <c r="E162" s="422"/>
      <c r="F162" s="367"/>
      <c r="G162" s="367"/>
      <c r="H162" s="368"/>
      <c r="I162" s="369"/>
      <c r="J162" s="369"/>
      <c r="K162" s="369"/>
      <c r="L162" s="314"/>
    </row>
    <row r="163" spans="1:12" s="284" customFormat="1" ht="20.399999999999999" x14ac:dyDescent="0.45">
      <c r="A163" s="360" t="s">
        <v>198</v>
      </c>
      <c r="B163" s="361" t="s">
        <v>169</v>
      </c>
      <c r="C163" s="362">
        <v>95</v>
      </c>
      <c r="D163" s="362"/>
      <c r="E163" s="421"/>
      <c r="F163" s="362"/>
      <c r="G163" s="362"/>
      <c r="H163" s="363"/>
      <c r="I163" s="364">
        <v>1710</v>
      </c>
      <c r="J163" s="364">
        <v>1710</v>
      </c>
      <c r="K163" s="364">
        <v>1624.5</v>
      </c>
      <c r="L163" s="365">
        <v>1</v>
      </c>
    </row>
    <row r="164" spans="1:12" s="284" customFormat="1" ht="20.399999999999999" x14ac:dyDescent="0.45">
      <c r="A164" s="360" t="s">
        <v>198</v>
      </c>
      <c r="B164" s="361" t="s">
        <v>169</v>
      </c>
      <c r="C164" s="362">
        <v>95.3</v>
      </c>
      <c r="D164" s="362"/>
      <c r="E164" s="421"/>
      <c r="F164" s="362"/>
      <c r="G164" s="362"/>
      <c r="H164" s="363"/>
      <c r="I164" s="364">
        <v>49716.36</v>
      </c>
      <c r="J164" s="364">
        <v>49716.36</v>
      </c>
      <c r="K164" s="364">
        <v>47379.69</v>
      </c>
      <c r="L164" s="365">
        <v>1</v>
      </c>
    </row>
    <row r="165" spans="1:12" s="284" customFormat="1" ht="20.399999999999999" x14ac:dyDescent="0.45">
      <c r="A165" s="360" t="s">
        <v>198</v>
      </c>
      <c r="B165" s="361" t="s">
        <v>169</v>
      </c>
      <c r="C165" s="362">
        <v>96.25</v>
      </c>
      <c r="D165" s="362"/>
      <c r="E165" s="421"/>
      <c r="F165" s="362"/>
      <c r="G165" s="362"/>
      <c r="H165" s="363"/>
      <c r="I165" s="364">
        <v>144232.92000000001</v>
      </c>
      <c r="J165" s="364">
        <v>144232.92000000001</v>
      </c>
      <c r="K165" s="364">
        <v>138824.19</v>
      </c>
      <c r="L165" s="365">
        <v>1</v>
      </c>
    </row>
    <row r="166" spans="1:12" s="284" customFormat="1" ht="20.399999999999999" x14ac:dyDescent="0.45">
      <c r="A166" s="360" t="s">
        <v>198</v>
      </c>
      <c r="B166" s="361" t="s">
        <v>169</v>
      </c>
      <c r="C166" s="362">
        <v>96.520099999999999</v>
      </c>
      <c r="D166" s="362"/>
      <c r="E166" s="421"/>
      <c r="F166" s="362"/>
      <c r="G166" s="362"/>
      <c r="H166" s="363"/>
      <c r="I166" s="364">
        <v>39882.29</v>
      </c>
      <c r="J166" s="364">
        <v>39882.29</v>
      </c>
      <c r="K166" s="364">
        <v>38494.43</v>
      </c>
      <c r="L166" s="365">
        <v>1</v>
      </c>
    </row>
    <row r="167" spans="1:12" s="284" customFormat="1" ht="20.399999999999999" x14ac:dyDescent="0.45">
      <c r="A167" s="360" t="s">
        <v>198</v>
      </c>
      <c r="B167" s="361" t="s">
        <v>169</v>
      </c>
      <c r="C167" s="362">
        <v>96.75</v>
      </c>
      <c r="D167" s="362"/>
      <c r="E167" s="421"/>
      <c r="F167" s="362"/>
      <c r="G167" s="362"/>
      <c r="H167" s="363"/>
      <c r="I167" s="364">
        <v>25210.3</v>
      </c>
      <c r="J167" s="364">
        <v>25210.3</v>
      </c>
      <c r="K167" s="364">
        <v>24390.97</v>
      </c>
      <c r="L167" s="365">
        <v>1</v>
      </c>
    </row>
    <row r="168" spans="1:12" s="284" customFormat="1" ht="20.399999999999999" x14ac:dyDescent="0.45">
      <c r="A168" s="360" t="s">
        <v>198</v>
      </c>
      <c r="B168" s="361" t="s">
        <v>169</v>
      </c>
      <c r="C168" s="362">
        <v>97</v>
      </c>
      <c r="D168" s="362"/>
      <c r="E168" s="421"/>
      <c r="F168" s="362"/>
      <c r="G168" s="362"/>
      <c r="H168" s="363"/>
      <c r="I168" s="364">
        <v>578338.37</v>
      </c>
      <c r="J168" s="364">
        <v>578338.37</v>
      </c>
      <c r="K168" s="364">
        <v>560988.22</v>
      </c>
      <c r="L168" s="365">
        <v>1</v>
      </c>
    </row>
    <row r="169" spans="1:12" s="284" customFormat="1" ht="20.399999999999999" x14ac:dyDescent="0.45">
      <c r="A169" s="360" t="s">
        <v>198</v>
      </c>
      <c r="B169" s="361" t="s">
        <v>169</v>
      </c>
      <c r="C169" s="362">
        <v>97.05</v>
      </c>
      <c r="D169" s="362"/>
      <c r="E169" s="421"/>
      <c r="F169" s="362"/>
      <c r="G169" s="362"/>
      <c r="H169" s="363"/>
      <c r="I169" s="364">
        <v>994263.17</v>
      </c>
      <c r="J169" s="364">
        <v>994263.17</v>
      </c>
      <c r="K169" s="364">
        <v>964932.41</v>
      </c>
      <c r="L169" s="365">
        <v>1</v>
      </c>
    </row>
    <row r="170" spans="1:12" s="284" customFormat="1" ht="20.399999999999999" x14ac:dyDescent="0.45">
      <c r="A170" s="360" t="s">
        <v>198</v>
      </c>
      <c r="B170" s="361" t="s">
        <v>169</v>
      </c>
      <c r="C170" s="362">
        <v>97.1</v>
      </c>
      <c r="D170" s="362"/>
      <c r="E170" s="421"/>
      <c r="F170" s="362"/>
      <c r="G170" s="362"/>
      <c r="H170" s="363"/>
      <c r="I170" s="364">
        <v>1817352.63</v>
      </c>
      <c r="J170" s="364">
        <v>1817352.63</v>
      </c>
      <c r="K170" s="364">
        <v>1764649.4</v>
      </c>
      <c r="L170" s="365">
        <v>1</v>
      </c>
    </row>
    <row r="171" spans="1:12" s="284" customFormat="1" ht="20.399999999999999" x14ac:dyDescent="0.45">
      <c r="A171" s="360" t="s">
        <v>198</v>
      </c>
      <c r="B171" s="361" t="s">
        <v>169</v>
      </c>
      <c r="C171" s="362">
        <v>97.15</v>
      </c>
      <c r="D171" s="362"/>
      <c r="E171" s="421"/>
      <c r="F171" s="362"/>
      <c r="G171" s="362"/>
      <c r="H171" s="363"/>
      <c r="I171" s="364">
        <v>2031040.1600000001</v>
      </c>
      <c r="J171" s="364">
        <v>2031040.1600000001</v>
      </c>
      <c r="K171" s="364">
        <v>1973155.52</v>
      </c>
      <c r="L171" s="365">
        <v>3</v>
      </c>
    </row>
    <row r="172" spans="1:12" s="284" customFormat="1" ht="20.399999999999999" x14ac:dyDescent="0.45">
      <c r="A172" s="360" t="s">
        <v>198</v>
      </c>
      <c r="B172" s="361" t="s">
        <v>169</v>
      </c>
      <c r="C172" s="362">
        <v>97.25</v>
      </c>
      <c r="D172" s="362"/>
      <c r="E172" s="421"/>
      <c r="F172" s="362"/>
      <c r="G172" s="362"/>
      <c r="H172" s="363"/>
      <c r="I172" s="364">
        <v>583233.87</v>
      </c>
      <c r="J172" s="364">
        <v>583233.87</v>
      </c>
      <c r="K172" s="364">
        <v>567194.92999999993</v>
      </c>
      <c r="L172" s="365">
        <v>4</v>
      </c>
    </row>
    <row r="173" spans="1:12" s="284" customFormat="1" ht="20.399999999999999" x14ac:dyDescent="0.45">
      <c r="A173" s="360" t="s">
        <v>198</v>
      </c>
      <c r="B173" s="361" t="s">
        <v>169</v>
      </c>
      <c r="C173" s="362">
        <v>97.3</v>
      </c>
      <c r="D173" s="362"/>
      <c r="E173" s="421"/>
      <c r="F173" s="362"/>
      <c r="G173" s="362"/>
      <c r="H173" s="363"/>
      <c r="I173" s="364">
        <v>1456020.4</v>
      </c>
      <c r="J173" s="364">
        <v>1456020.4</v>
      </c>
      <c r="K173" s="364">
        <v>1416707.8399999999</v>
      </c>
      <c r="L173" s="365">
        <v>10</v>
      </c>
    </row>
    <row r="174" spans="1:12" s="284" customFormat="1" ht="20.399999999999999" x14ac:dyDescent="0.45">
      <c r="A174" s="360" t="s">
        <v>198</v>
      </c>
      <c r="B174" s="361" t="s">
        <v>169</v>
      </c>
      <c r="C174" s="362">
        <v>97.5</v>
      </c>
      <c r="D174" s="362"/>
      <c r="E174" s="421"/>
      <c r="F174" s="362"/>
      <c r="G174" s="362"/>
      <c r="H174" s="363"/>
      <c r="I174" s="364">
        <v>45793.47</v>
      </c>
      <c r="J174" s="364">
        <v>45793.47</v>
      </c>
      <c r="K174" s="364">
        <v>44648.63</v>
      </c>
      <c r="L174" s="365">
        <v>1</v>
      </c>
    </row>
    <row r="175" spans="1:12" s="284" customFormat="1" ht="20.399999999999999" x14ac:dyDescent="0.45">
      <c r="A175" s="360" t="s">
        <v>198</v>
      </c>
      <c r="B175" s="361" t="s">
        <v>169</v>
      </c>
      <c r="C175" s="362">
        <v>97.7</v>
      </c>
      <c r="D175" s="362"/>
      <c r="E175" s="421"/>
      <c r="F175" s="362"/>
      <c r="G175" s="362"/>
      <c r="H175" s="363"/>
      <c r="I175" s="364">
        <v>1458292.09</v>
      </c>
      <c r="J175" s="364">
        <v>1458292.09</v>
      </c>
      <c r="K175" s="364">
        <v>1424751.37</v>
      </c>
      <c r="L175" s="365">
        <v>1</v>
      </c>
    </row>
    <row r="176" spans="1:12" s="283" customFormat="1" ht="20.399999999999999" x14ac:dyDescent="0.45">
      <c r="A176" s="312" t="s">
        <v>174</v>
      </c>
      <c r="B176" s="366"/>
      <c r="C176" s="367"/>
      <c r="D176" s="367"/>
      <c r="E176" s="422"/>
      <c r="F176" s="367"/>
      <c r="G176" s="367"/>
      <c r="H176" s="368"/>
      <c r="I176" s="369">
        <f>SUM(I163:I175)</f>
        <v>9225086.0300000012</v>
      </c>
      <c r="J176" s="369">
        <f t="shared" ref="J176:K176" si="11">SUM(J163:J175)</f>
        <v>9225086.0300000012</v>
      </c>
      <c r="K176" s="369">
        <f t="shared" si="11"/>
        <v>8967742.0999999996</v>
      </c>
      <c r="L176" s="314">
        <f>SUM(L163:L175)</f>
        <v>27</v>
      </c>
    </row>
    <row r="177" spans="1:12" s="283" customFormat="1" ht="20.399999999999999" x14ac:dyDescent="0.45">
      <c r="A177" s="312" t="s">
        <v>200</v>
      </c>
      <c r="B177" s="366"/>
      <c r="C177" s="367"/>
      <c r="D177" s="367"/>
      <c r="E177" s="422"/>
      <c r="F177" s="367"/>
      <c r="G177" s="367"/>
      <c r="H177" s="368"/>
      <c r="I177" s="369"/>
      <c r="J177" s="369"/>
      <c r="K177" s="369"/>
      <c r="L177" s="314"/>
    </row>
    <row r="178" spans="1:12" s="284" customFormat="1" ht="20.399999999999999" x14ac:dyDescent="0.45">
      <c r="A178" s="360" t="s">
        <v>201</v>
      </c>
      <c r="B178" s="361" t="s">
        <v>169</v>
      </c>
      <c r="C178" s="362">
        <v>98.357900000000001</v>
      </c>
      <c r="D178" s="362">
        <v>9.25</v>
      </c>
      <c r="E178" s="421" t="s">
        <v>347</v>
      </c>
      <c r="F178" s="362">
        <v>10.5</v>
      </c>
      <c r="G178" s="362">
        <v>10.920719999999999</v>
      </c>
      <c r="H178" s="363" t="s">
        <v>178</v>
      </c>
      <c r="I178" s="364">
        <v>508750</v>
      </c>
      <c r="J178" s="364">
        <v>550000</v>
      </c>
      <c r="K178" s="364">
        <v>500396.14</v>
      </c>
      <c r="L178" s="365">
        <v>1</v>
      </c>
    </row>
    <row r="179" spans="1:12" s="284" customFormat="1" ht="20.399999999999999" x14ac:dyDescent="0.45">
      <c r="A179" s="360" t="s">
        <v>201</v>
      </c>
      <c r="B179" s="361" t="s">
        <v>169</v>
      </c>
      <c r="C179" s="362">
        <v>98.335400000000007</v>
      </c>
      <c r="D179" s="362">
        <v>9.25</v>
      </c>
      <c r="E179" s="421" t="s">
        <v>348</v>
      </c>
      <c r="F179" s="362">
        <v>10.5</v>
      </c>
      <c r="G179" s="362">
        <v>10.920719999999999</v>
      </c>
      <c r="H179" s="363" t="s">
        <v>178</v>
      </c>
      <c r="I179" s="364">
        <v>508750</v>
      </c>
      <c r="J179" s="364">
        <v>550000</v>
      </c>
      <c r="K179" s="364">
        <v>500281.68</v>
      </c>
      <c r="L179" s="365">
        <v>1</v>
      </c>
    </row>
    <row r="180" spans="1:12" s="284" customFormat="1" ht="20.399999999999999" x14ac:dyDescent="0.45">
      <c r="A180" s="360" t="s">
        <v>349</v>
      </c>
      <c r="B180" s="361" t="s">
        <v>169</v>
      </c>
      <c r="C180" s="362">
        <v>99.996499999999997</v>
      </c>
      <c r="D180" s="362">
        <v>8.5</v>
      </c>
      <c r="E180" s="421" t="s">
        <v>350</v>
      </c>
      <c r="F180" s="362">
        <v>8.5</v>
      </c>
      <c r="G180" s="362">
        <v>8.7747899999999994</v>
      </c>
      <c r="H180" s="363" t="s">
        <v>178</v>
      </c>
      <c r="I180" s="364">
        <v>18665.099999999999</v>
      </c>
      <c r="J180" s="364">
        <v>20739</v>
      </c>
      <c r="K180" s="364">
        <v>18664.46</v>
      </c>
      <c r="L180" s="365">
        <v>1</v>
      </c>
    </row>
    <row r="181" spans="1:12" s="284" customFormat="1" ht="20.399999999999999" x14ac:dyDescent="0.45">
      <c r="A181" s="360" t="s">
        <v>203</v>
      </c>
      <c r="B181" s="361" t="s">
        <v>169</v>
      </c>
      <c r="C181" s="362">
        <v>102.4054</v>
      </c>
      <c r="D181" s="362">
        <v>9</v>
      </c>
      <c r="E181" s="421" t="s">
        <v>214</v>
      </c>
      <c r="F181" s="362">
        <v>7.6761900000000001</v>
      </c>
      <c r="G181" s="362">
        <v>7.9</v>
      </c>
      <c r="H181" s="363" t="s">
        <v>178</v>
      </c>
      <c r="I181" s="364">
        <v>10000</v>
      </c>
      <c r="J181" s="364">
        <v>12500</v>
      </c>
      <c r="K181" s="364">
        <v>10240.540000000001</v>
      </c>
      <c r="L181" s="365">
        <v>1</v>
      </c>
    </row>
    <row r="182" spans="1:12" s="284" customFormat="1" ht="20.399999999999999" x14ac:dyDescent="0.45">
      <c r="A182" s="360" t="s">
        <v>203</v>
      </c>
      <c r="B182" s="361" t="s">
        <v>169</v>
      </c>
      <c r="C182" s="362">
        <v>101.7466</v>
      </c>
      <c r="D182" s="362">
        <v>9</v>
      </c>
      <c r="E182" s="421" t="s">
        <v>351</v>
      </c>
      <c r="F182" s="362">
        <v>7.7706299999999997</v>
      </c>
      <c r="G182" s="362">
        <v>8.0000099999999996</v>
      </c>
      <c r="H182" s="363" t="s">
        <v>178</v>
      </c>
      <c r="I182" s="364">
        <v>10020</v>
      </c>
      <c r="J182" s="364">
        <v>16700</v>
      </c>
      <c r="K182" s="364">
        <v>10195.01</v>
      </c>
      <c r="L182" s="365">
        <v>1</v>
      </c>
    </row>
    <row r="183" spans="1:12" s="284" customFormat="1" ht="20.399999999999999" x14ac:dyDescent="0.45">
      <c r="A183" s="360" t="s">
        <v>203</v>
      </c>
      <c r="B183" s="361" t="s">
        <v>169</v>
      </c>
      <c r="C183" s="362">
        <v>99.558400000000006</v>
      </c>
      <c r="D183" s="362">
        <v>9</v>
      </c>
      <c r="E183" s="421" t="s">
        <v>351</v>
      </c>
      <c r="F183" s="362">
        <v>9.31142</v>
      </c>
      <c r="G183" s="362">
        <v>9.6416299999999993</v>
      </c>
      <c r="H183" s="363" t="s">
        <v>178</v>
      </c>
      <c r="I183" s="364">
        <v>10000</v>
      </c>
      <c r="J183" s="364">
        <v>16666.669999999998</v>
      </c>
      <c r="K183" s="364">
        <v>9955.84</v>
      </c>
      <c r="L183" s="365">
        <v>1</v>
      </c>
    </row>
    <row r="184" spans="1:12" s="284" customFormat="1" ht="20.399999999999999" x14ac:dyDescent="0.45">
      <c r="A184" s="360" t="s">
        <v>203</v>
      </c>
      <c r="B184" s="361" t="s">
        <v>169</v>
      </c>
      <c r="C184" s="362">
        <v>97.910399999999996</v>
      </c>
      <c r="D184" s="362">
        <v>8</v>
      </c>
      <c r="E184" s="421" t="s">
        <v>352</v>
      </c>
      <c r="F184" s="362">
        <v>9.3234899999999996</v>
      </c>
      <c r="G184" s="362">
        <v>9.65456</v>
      </c>
      <c r="H184" s="363" t="s">
        <v>178</v>
      </c>
      <c r="I184" s="364">
        <v>500220</v>
      </c>
      <c r="J184" s="364">
        <v>714600</v>
      </c>
      <c r="K184" s="364">
        <v>489767.4</v>
      </c>
      <c r="L184" s="365">
        <v>2</v>
      </c>
    </row>
    <row r="185" spans="1:12" s="284" customFormat="1" ht="20.399999999999999" x14ac:dyDescent="0.45">
      <c r="A185" s="360" t="s">
        <v>203</v>
      </c>
      <c r="B185" s="361" t="s">
        <v>169</v>
      </c>
      <c r="C185" s="362">
        <v>98.845399999999998</v>
      </c>
      <c r="D185" s="362">
        <v>9</v>
      </c>
      <c r="E185" s="421" t="s">
        <v>353</v>
      </c>
      <c r="F185" s="362">
        <v>9.9</v>
      </c>
      <c r="G185" s="362">
        <v>10.273630000000001</v>
      </c>
      <c r="H185" s="363" t="s">
        <v>178</v>
      </c>
      <c r="I185" s="364">
        <v>6918</v>
      </c>
      <c r="J185" s="364">
        <v>6918</v>
      </c>
      <c r="K185" s="364">
        <v>6838.13</v>
      </c>
      <c r="L185" s="365">
        <v>1</v>
      </c>
    </row>
    <row r="186" spans="1:12" s="284" customFormat="1" ht="20.399999999999999" x14ac:dyDescent="0.45">
      <c r="A186" s="360" t="s">
        <v>203</v>
      </c>
      <c r="B186" s="361" t="s">
        <v>169</v>
      </c>
      <c r="C186" s="362">
        <v>98.8065</v>
      </c>
      <c r="D186" s="362">
        <v>9</v>
      </c>
      <c r="E186" s="421" t="s">
        <v>354</v>
      </c>
      <c r="F186" s="362">
        <v>9.9</v>
      </c>
      <c r="G186" s="362">
        <v>10.273630000000001</v>
      </c>
      <c r="H186" s="363" t="s">
        <v>178</v>
      </c>
      <c r="I186" s="364">
        <v>7000</v>
      </c>
      <c r="J186" s="364">
        <v>7000</v>
      </c>
      <c r="K186" s="364">
        <v>6916.46</v>
      </c>
      <c r="L186" s="365">
        <v>1</v>
      </c>
    </row>
    <row r="187" spans="1:12" s="284" customFormat="1" ht="20.399999999999999" x14ac:dyDescent="0.45">
      <c r="A187" s="360" t="s">
        <v>203</v>
      </c>
      <c r="B187" s="361" t="s">
        <v>169</v>
      </c>
      <c r="C187" s="362">
        <v>98.741200000000006</v>
      </c>
      <c r="D187" s="362">
        <v>9</v>
      </c>
      <c r="E187" s="421" t="s">
        <v>354</v>
      </c>
      <c r="F187" s="362">
        <v>9.9499999999999993</v>
      </c>
      <c r="G187" s="362">
        <v>10.327450000000001</v>
      </c>
      <c r="H187" s="363" t="s">
        <v>178</v>
      </c>
      <c r="I187" s="364">
        <v>100000</v>
      </c>
      <c r="J187" s="364">
        <v>100000</v>
      </c>
      <c r="K187" s="364">
        <v>98741.22</v>
      </c>
      <c r="L187" s="365">
        <v>1</v>
      </c>
    </row>
    <row r="188" spans="1:12" s="284" customFormat="1" ht="20.399999999999999" x14ac:dyDescent="0.45">
      <c r="A188" s="360" t="s">
        <v>203</v>
      </c>
      <c r="B188" s="361" t="s">
        <v>169</v>
      </c>
      <c r="C188" s="362">
        <v>98.724900000000005</v>
      </c>
      <c r="D188" s="362">
        <v>9</v>
      </c>
      <c r="E188" s="421" t="s">
        <v>355</v>
      </c>
      <c r="F188" s="362">
        <v>9.9499999999999993</v>
      </c>
      <c r="G188" s="362">
        <v>10.327450000000001</v>
      </c>
      <c r="H188" s="363" t="s">
        <v>178</v>
      </c>
      <c r="I188" s="364">
        <v>100000</v>
      </c>
      <c r="J188" s="364">
        <v>100000</v>
      </c>
      <c r="K188" s="364">
        <v>98724.98</v>
      </c>
      <c r="L188" s="365">
        <v>1</v>
      </c>
    </row>
    <row r="189" spans="1:12" s="284" customFormat="1" ht="20.399999999999999" x14ac:dyDescent="0.45">
      <c r="A189" s="360" t="s">
        <v>204</v>
      </c>
      <c r="B189" s="361" t="s">
        <v>169</v>
      </c>
      <c r="C189" s="362">
        <v>101.0003</v>
      </c>
      <c r="D189" s="362">
        <v>8</v>
      </c>
      <c r="E189" s="421" t="s">
        <v>356</v>
      </c>
      <c r="F189" s="362">
        <v>7.3925299999999998</v>
      </c>
      <c r="G189" s="362">
        <v>7.6</v>
      </c>
      <c r="H189" s="363" t="s">
        <v>178</v>
      </c>
      <c r="I189" s="364">
        <v>80163</v>
      </c>
      <c r="J189" s="364">
        <v>90000</v>
      </c>
      <c r="K189" s="364">
        <v>80964.88</v>
      </c>
      <c r="L189" s="365">
        <v>2</v>
      </c>
    </row>
    <row r="190" spans="1:12" s="284" customFormat="1" ht="20.399999999999999" x14ac:dyDescent="0.45">
      <c r="A190" s="360" t="s">
        <v>204</v>
      </c>
      <c r="B190" s="361" t="s">
        <v>169</v>
      </c>
      <c r="C190" s="362">
        <v>102.5675</v>
      </c>
      <c r="D190" s="362">
        <v>9</v>
      </c>
      <c r="E190" s="421" t="s">
        <v>357</v>
      </c>
      <c r="F190" s="362">
        <v>7.7706299999999997</v>
      </c>
      <c r="G190" s="362">
        <v>8.0000099999999996</v>
      </c>
      <c r="H190" s="363" t="s">
        <v>178</v>
      </c>
      <c r="I190" s="364">
        <v>20007</v>
      </c>
      <c r="J190" s="364">
        <v>20520</v>
      </c>
      <c r="K190" s="364">
        <v>20520.68</v>
      </c>
      <c r="L190" s="365">
        <v>2</v>
      </c>
    </row>
    <row r="191" spans="1:12" s="284" customFormat="1" ht="20.399999999999999" x14ac:dyDescent="0.45">
      <c r="A191" s="360" t="s">
        <v>205</v>
      </c>
      <c r="B191" s="361" t="s">
        <v>169</v>
      </c>
      <c r="C191" s="362">
        <v>102.34869999999999</v>
      </c>
      <c r="D191" s="362">
        <v>9</v>
      </c>
      <c r="E191" s="421" t="s">
        <v>358</v>
      </c>
      <c r="F191" s="362">
        <v>7.6761900000000001</v>
      </c>
      <c r="G191" s="362">
        <v>7.9</v>
      </c>
      <c r="H191" s="363" t="s">
        <v>178</v>
      </c>
      <c r="I191" s="364">
        <v>10000</v>
      </c>
      <c r="J191" s="364">
        <v>12500</v>
      </c>
      <c r="K191" s="364">
        <v>10234.870000000001</v>
      </c>
      <c r="L191" s="365">
        <v>1</v>
      </c>
    </row>
    <row r="192" spans="1:12" s="284" customFormat="1" ht="20.399999999999999" x14ac:dyDescent="0.45">
      <c r="A192" s="360" t="s">
        <v>205</v>
      </c>
      <c r="B192" s="361" t="s">
        <v>169</v>
      </c>
      <c r="C192" s="362">
        <v>101.7116</v>
      </c>
      <c r="D192" s="362">
        <v>9</v>
      </c>
      <c r="E192" s="421" t="s">
        <v>359</v>
      </c>
      <c r="F192" s="362">
        <v>7.6761999999999997</v>
      </c>
      <c r="G192" s="362">
        <v>7.90001</v>
      </c>
      <c r="H192" s="363" t="s">
        <v>178</v>
      </c>
      <c r="I192" s="364">
        <v>10000.1</v>
      </c>
      <c r="J192" s="364">
        <v>18182</v>
      </c>
      <c r="K192" s="364">
        <v>10171.26</v>
      </c>
      <c r="L192" s="365">
        <v>1</v>
      </c>
    </row>
    <row r="193" spans="1:12" s="284" customFormat="1" ht="20.399999999999999" x14ac:dyDescent="0.45">
      <c r="A193" s="360" t="s">
        <v>205</v>
      </c>
      <c r="B193" s="361" t="s">
        <v>169</v>
      </c>
      <c r="C193" s="362">
        <v>100.3497</v>
      </c>
      <c r="D193" s="362">
        <v>8</v>
      </c>
      <c r="E193" s="421" t="s">
        <v>360</v>
      </c>
      <c r="F193" s="362">
        <v>7.7706099999999996</v>
      </c>
      <c r="G193" s="362">
        <v>8</v>
      </c>
      <c r="H193" s="363" t="s">
        <v>178</v>
      </c>
      <c r="I193" s="364">
        <v>20020</v>
      </c>
      <c r="J193" s="364">
        <v>28600</v>
      </c>
      <c r="K193" s="364">
        <v>20090</v>
      </c>
      <c r="L193" s="365">
        <v>2</v>
      </c>
    </row>
    <row r="194" spans="1:12" s="284" customFormat="1" ht="20.399999999999999" x14ac:dyDescent="0.45">
      <c r="A194" s="360" t="s">
        <v>205</v>
      </c>
      <c r="B194" s="361" t="s">
        <v>169</v>
      </c>
      <c r="C194" s="362">
        <v>97.259500000000003</v>
      </c>
      <c r="D194" s="362">
        <v>8</v>
      </c>
      <c r="E194" s="421" t="s">
        <v>361</v>
      </c>
      <c r="F194" s="362">
        <v>9.9</v>
      </c>
      <c r="G194" s="362">
        <v>10.273630000000001</v>
      </c>
      <c r="H194" s="363" t="s">
        <v>178</v>
      </c>
      <c r="I194" s="364">
        <v>3122.4</v>
      </c>
      <c r="J194" s="364">
        <v>5204</v>
      </c>
      <c r="K194" s="364">
        <v>3036.83</v>
      </c>
      <c r="L194" s="365">
        <v>1</v>
      </c>
    </row>
    <row r="195" spans="1:12" s="284" customFormat="1" ht="20.399999999999999" x14ac:dyDescent="0.45">
      <c r="A195" s="360" t="s">
        <v>205</v>
      </c>
      <c r="B195" s="361" t="s">
        <v>169</v>
      </c>
      <c r="C195" s="362">
        <v>97.255200000000002</v>
      </c>
      <c r="D195" s="362">
        <v>8</v>
      </c>
      <c r="E195" s="421" t="s">
        <v>362</v>
      </c>
      <c r="F195" s="362">
        <v>9.9</v>
      </c>
      <c r="G195" s="362">
        <v>10.273630000000001</v>
      </c>
      <c r="H195" s="363" t="s">
        <v>178</v>
      </c>
      <c r="I195" s="364">
        <v>4029.6</v>
      </c>
      <c r="J195" s="364">
        <v>6716</v>
      </c>
      <c r="K195" s="364">
        <v>3919</v>
      </c>
      <c r="L195" s="365">
        <v>2</v>
      </c>
    </row>
    <row r="196" spans="1:12" s="284" customFormat="1" ht="20.399999999999999" x14ac:dyDescent="0.45">
      <c r="A196" s="360" t="s">
        <v>205</v>
      </c>
      <c r="B196" s="361" t="s">
        <v>169</v>
      </c>
      <c r="C196" s="362">
        <v>98.755399999999995</v>
      </c>
      <c r="D196" s="362">
        <v>9</v>
      </c>
      <c r="E196" s="421" t="s">
        <v>363</v>
      </c>
      <c r="F196" s="362">
        <v>9.9499999999999993</v>
      </c>
      <c r="G196" s="362">
        <v>10.327450000000001</v>
      </c>
      <c r="H196" s="363" t="s">
        <v>178</v>
      </c>
      <c r="I196" s="364">
        <v>150000</v>
      </c>
      <c r="J196" s="364">
        <v>150000</v>
      </c>
      <c r="K196" s="364">
        <v>148133.15</v>
      </c>
      <c r="L196" s="365">
        <v>1</v>
      </c>
    </row>
    <row r="197" spans="1:12" s="284" customFormat="1" ht="20.399999999999999" x14ac:dyDescent="0.45">
      <c r="A197" s="360" t="s">
        <v>205</v>
      </c>
      <c r="B197" s="361" t="s">
        <v>169</v>
      </c>
      <c r="C197" s="362">
        <v>98.736500000000007</v>
      </c>
      <c r="D197" s="362">
        <v>9</v>
      </c>
      <c r="E197" s="421" t="s">
        <v>364</v>
      </c>
      <c r="F197" s="362">
        <v>9.9499999999999993</v>
      </c>
      <c r="G197" s="362">
        <v>10.327450000000001</v>
      </c>
      <c r="H197" s="363" t="s">
        <v>178</v>
      </c>
      <c r="I197" s="364">
        <v>100000</v>
      </c>
      <c r="J197" s="364">
        <v>100000</v>
      </c>
      <c r="K197" s="364">
        <v>98736.54</v>
      </c>
      <c r="L197" s="365">
        <v>1</v>
      </c>
    </row>
    <row r="198" spans="1:12" s="284" customFormat="1" ht="20.399999999999999" x14ac:dyDescent="0.45">
      <c r="A198" s="360" t="s">
        <v>365</v>
      </c>
      <c r="B198" s="361" t="s">
        <v>169</v>
      </c>
      <c r="C198" s="362">
        <v>102.0992</v>
      </c>
      <c r="D198" s="362">
        <v>9</v>
      </c>
      <c r="E198" s="421" t="s">
        <v>366</v>
      </c>
      <c r="F198" s="362">
        <v>7.7706099999999996</v>
      </c>
      <c r="G198" s="362">
        <v>8</v>
      </c>
      <c r="H198" s="363" t="s">
        <v>178</v>
      </c>
      <c r="I198" s="364">
        <v>10000</v>
      </c>
      <c r="J198" s="364">
        <v>12500</v>
      </c>
      <c r="K198" s="364">
        <v>10209.92</v>
      </c>
      <c r="L198" s="365">
        <v>1</v>
      </c>
    </row>
    <row r="199" spans="1:12" s="284" customFormat="1" ht="20.399999999999999" x14ac:dyDescent="0.45">
      <c r="A199" s="360" t="s">
        <v>367</v>
      </c>
      <c r="B199" s="361" t="s">
        <v>169</v>
      </c>
      <c r="C199" s="362">
        <v>95.911799999999999</v>
      </c>
      <c r="D199" s="362">
        <v>8</v>
      </c>
      <c r="E199" s="421" t="s">
        <v>368</v>
      </c>
      <c r="F199" s="362">
        <v>10.08</v>
      </c>
      <c r="G199" s="362">
        <v>10.467460000000001</v>
      </c>
      <c r="H199" s="363" t="s">
        <v>178</v>
      </c>
      <c r="I199" s="364">
        <v>1563700</v>
      </c>
      <c r="J199" s="364">
        <v>1646000</v>
      </c>
      <c r="K199" s="364">
        <v>1499773.95</v>
      </c>
      <c r="L199" s="365">
        <v>1</v>
      </c>
    </row>
    <row r="200" spans="1:12" s="284" customFormat="1" ht="20.399999999999999" x14ac:dyDescent="0.45">
      <c r="A200" s="360" t="s">
        <v>208</v>
      </c>
      <c r="B200" s="361" t="s">
        <v>169</v>
      </c>
      <c r="C200" s="362">
        <v>99.998900000000006</v>
      </c>
      <c r="D200" s="362">
        <v>8</v>
      </c>
      <c r="E200" s="421" t="s">
        <v>369</v>
      </c>
      <c r="F200" s="362">
        <v>8</v>
      </c>
      <c r="G200" s="362">
        <v>8.2432099999999995</v>
      </c>
      <c r="H200" s="363" t="s">
        <v>178</v>
      </c>
      <c r="I200" s="364">
        <v>1750</v>
      </c>
      <c r="J200" s="364">
        <v>7000</v>
      </c>
      <c r="K200" s="364">
        <v>1749.98</v>
      </c>
      <c r="L200" s="365">
        <v>1</v>
      </c>
    </row>
    <row r="201" spans="1:12" s="284" customFormat="1" ht="20.399999999999999" x14ac:dyDescent="0.45">
      <c r="A201" s="360" t="s">
        <v>208</v>
      </c>
      <c r="B201" s="361" t="s">
        <v>169</v>
      </c>
      <c r="C201" s="362">
        <v>97.572000000000003</v>
      </c>
      <c r="D201" s="362">
        <v>7.5</v>
      </c>
      <c r="E201" s="421" t="s">
        <v>370</v>
      </c>
      <c r="F201" s="362">
        <v>8.2417599999999993</v>
      </c>
      <c r="G201" s="362">
        <v>8.5000099999999996</v>
      </c>
      <c r="H201" s="363" t="s">
        <v>178</v>
      </c>
      <c r="I201" s="364">
        <v>30000</v>
      </c>
      <c r="J201" s="364">
        <v>37500</v>
      </c>
      <c r="K201" s="364">
        <v>29271.599999999999</v>
      </c>
      <c r="L201" s="365">
        <v>3</v>
      </c>
    </row>
    <row r="202" spans="1:12" s="284" customFormat="1" ht="20.399999999999999" x14ac:dyDescent="0.45">
      <c r="A202" s="360" t="s">
        <v>208</v>
      </c>
      <c r="B202" s="361" t="s">
        <v>169</v>
      </c>
      <c r="C202" s="362">
        <v>99.994799999999998</v>
      </c>
      <c r="D202" s="362">
        <v>8.25</v>
      </c>
      <c r="E202" s="421" t="s">
        <v>371</v>
      </c>
      <c r="F202" s="362">
        <v>8.25</v>
      </c>
      <c r="G202" s="362">
        <v>8.5087600000000005</v>
      </c>
      <c r="H202" s="363" t="s">
        <v>178</v>
      </c>
      <c r="I202" s="364">
        <v>2429.1999999999998</v>
      </c>
      <c r="J202" s="364">
        <v>4000</v>
      </c>
      <c r="K202" s="364">
        <v>2429.08</v>
      </c>
      <c r="L202" s="365">
        <v>1</v>
      </c>
    </row>
    <row r="203" spans="1:12" s="284" customFormat="1" ht="20.399999999999999" x14ac:dyDescent="0.45">
      <c r="A203" s="360" t="s">
        <v>208</v>
      </c>
      <c r="B203" s="361" t="s">
        <v>169</v>
      </c>
      <c r="C203" s="362">
        <v>95.618099999999998</v>
      </c>
      <c r="D203" s="362">
        <v>7.5</v>
      </c>
      <c r="E203" s="421" t="s">
        <v>372</v>
      </c>
      <c r="F203" s="362">
        <v>8.75</v>
      </c>
      <c r="G203" s="362">
        <v>9.0413099999999993</v>
      </c>
      <c r="H203" s="363" t="s">
        <v>178</v>
      </c>
      <c r="I203" s="364">
        <v>25000</v>
      </c>
      <c r="J203" s="364">
        <v>27027.03</v>
      </c>
      <c r="K203" s="364">
        <v>23904.54</v>
      </c>
      <c r="L203" s="365">
        <v>1</v>
      </c>
    </row>
    <row r="204" spans="1:12" s="284" customFormat="1" ht="20.399999999999999" x14ac:dyDescent="0.45">
      <c r="A204" s="360" t="s">
        <v>208</v>
      </c>
      <c r="B204" s="361" t="s">
        <v>169</v>
      </c>
      <c r="C204" s="362">
        <v>97.074600000000004</v>
      </c>
      <c r="D204" s="362">
        <v>8.25</v>
      </c>
      <c r="E204" s="421" t="s">
        <v>373</v>
      </c>
      <c r="F204" s="362">
        <v>9.8124300000000009</v>
      </c>
      <c r="G204" s="362">
        <v>10.17943</v>
      </c>
      <c r="H204" s="363" t="s">
        <v>178</v>
      </c>
      <c r="I204" s="364">
        <v>121460</v>
      </c>
      <c r="J204" s="364">
        <v>200000</v>
      </c>
      <c r="K204" s="364">
        <v>117906.81</v>
      </c>
      <c r="L204" s="365">
        <v>1</v>
      </c>
    </row>
    <row r="205" spans="1:12" s="284" customFormat="1" ht="20.399999999999999" x14ac:dyDescent="0.45">
      <c r="A205" s="360" t="s">
        <v>208</v>
      </c>
      <c r="B205" s="361" t="s">
        <v>169</v>
      </c>
      <c r="C205" s="362">
        <v>96.920299999999997</v>
      </c>
      <c r="D205" s="362">
        <v>8.25</v>
      </c>
      <c r="E205" s="421" t="s">
        <v>374</v>
      </c>
      <c r="F205" s="362">
        <v>9.9151000000000007</v>
      </c>
      <c r="G205" s="362">
        <v>10.28988</v>
      </c>
      <c r="H205" s="363" t="s">
        <v>178</v>
      </c>
      <c r="I205" s="364">
        <v>137249.79999999999</v>
      </c>
      <c r="J205" s="364">
        <v>226000</v>
      </c>
      <c r="K205" s="364">
        <v>133022.92000000001</v>
      </c>
      <c r="L205" s="365">
        <v>1</v>
      </c>
    </row>
    <row r="206" spans="1:12" s="284" customFormat="1" ht="20.399999999999999" x14ac:dyDescent="0.45">
      <c r="A206" s="360" t="s">
        <v>210</v>
      </c>
      <c r="B206" s="361" t="s">
        <v>169</v>
      </c>
      <c r="C206" s="362">
        <v>101.1049</v>
      </c>
      <c r="D206" s="362">
        <v>8</v>
      </c>
      <c r="E206" s="421" t="s">
        <v>375</v>
      </c>
      <c r="F206" s="362">
        <v>7.2978300000000003</v>
      </c>
      <c r="G206" s="362">
        <v>7.4999900000000004</v>
      </c>
      <c r="H206" s="363" t="s">
        <v>178</v>
      </c>
      <c r="I206" s="364">
        <v>10000.200000000001</v>
      </c>
      <c r="J206" s="364">
        <v>14286</v>
      </c>
      <c r="K206" s="364">
        <v>10110.69</v>
      </c>
      <c r="L206" s="365">
        <v>1</v>
      </c>
    </row>
    <row r="207" spans="1:12" s="284" customFormat="1" ht="20.399999999999999" x14ac:dyDescent="0.45">
      <c r="A207" s="360" t="s">
        <v>210</v>
      </c>
      <c r="B207" s="361" t="s">
        <v>169</v>
      </c>
      <c r="C207" s="362">
        <v>98.086399999999998</v>
      </c>
      <c r="D207" s="362">
        <v>9</v>
      </c>
      <c r="E207" s="421" t="s">
        <v>376</v>
      </c>
      <c r="F207" s="362">
        <v>9.9</v>
      </c>
      <c r="G207" s="362">
        <v>10.273630000000001</v>
      </c>
      <c r="H207" s="363" t="s">
        <v>178</v>
      </c>
      <c r="I207" s="364">
        <v>500000</v>
      </c>
      <c r="J207" s="364">
        <v>500000</v>
      </c>
      <c r="K207" s="364">
        <v>490432.47</v>
      </c>
      <c r="L207" s="365">
        <v>1</v>
      </c>
    </row>
    <row r="208" spans="1:12" s="284" customFormat="1" ht="20.399999999999999" x14ac:dyDescent="0.45">
      <c r="A208" s="360" t="s">
        <v>210</v>
      </c>
      <c r="B208" s="361" t="s">
        <v>169</v>
      </c>
      <c r="C208" s="362">
        <v>97.851699999999994</v>
      </c>
      <c r="D208" s="362">
        <v>9</v>
      </c>
      <c r="E208" s="421" t="s">
        <v>377</v>
      </c>
      <c r="F208" s="362">
        <v>10.25</v>
      </c>
      <c r="G208" s="362">
        <v>10.65075</v>
      </c>
      <c r="H208" s="363" t="s">
        <v>178</v>
      </c>
      <c r="I208" s="364">
        <v>44558</v>
      </c>
      <c r="J208" s="364">
        <v>44558</v>
      </c>
      <c r="K208" s="364">
        <v>43600.78</v>
      </c>
      <c r="L208" s="365">
        <v>4</v>
      </c>
    </row>
    <row r="209" spans="1:12" s="284" customFormat="1" ht="20.399999999999999" x14ac:dyDescent="0.45">
      <c r="A209" s="360" t="s">
        <v>210</v>
      </c>
      <c r="B209" s="361" t="s">
        <v>169</v>
      </c>
      <c r="C209" s="362">
        <v>97.825999999999993</v>
      </c>
      <c r="D209" s="362">
        <v>9</v>
      </c>
      <c r="E209" s="421" t="s">
        <v>378</v>
      </c>
      <c r="F209" s="362">
        <v>10.25</v>
      </c>
      <c r="G209" s="362">
        <v>10.65075</v>
      </c>
      <c r="H209" s="363" t="s">
        <v>178</v>
      </c>
      <c r="I209" s="364">
        <v>10213</v>
      </c>
      <c r="J209" s="364">
        <v>10213</v>
      </c>
      <c r="K209" s="364">
        <v>9990.98</v>
      </c>
      <c r="L209" s="365">
        <v>1</v>
      </c>
    </row>
    <row r="210" spans="1:12" s="284" customFormat="1" ht="20.399999999999999" x14ac:dyDescent="0.45">
      <c r="A210" s="360" t="s">
        <v>211</v>
      </c>
      <c r="B210" s="361" t="s">
        <v>169</v>
      </c>
      <c r="C210" s="362">
        <v>96.293000000000006</v>
      </c>
      <c r="D210" s="362">
        <v>8</v>
      </c>
      <c r="E210" s="421" t="s">
        <v>373</v>
      </c>
      <c r="F210" s="362">
        <v>9.9</v>
      </c>
      <c r="G210" s="362">
        <v>10.273630000000001</v>
      </c>
      <c r="H210" s="363" t="s">
        <v>178</v>
      </c>
      <c r="I210" s="364">
        <v>10231.379999999999</v>
      </c>
      <c r="J210" s="364">
        <v>10630</v>
      </c>
      <c r="K210" s="364">
        <v>9852.1</v>
      </c>
      <c r="L210" s="365">
        <v>1</v>
      </c>
    </row>
    <row r="211" spans="1:12" s="284" customFormat="1" ht="20.399999999999999" x14ac:dyDescent="0.45">
      <c r="A211" s="360" t="s">
        <v>212</v>
      </c>
      <c r="B211" s="361" t="s">
        <v>169</v>
      </c>
      <c r="C211" s="362">
        <v>99.997100000000003</v>
      </c>
      <c r="D211" s="362">
        <v>7</v>
      </c>
      <c r="E211" s="421" t="s">
        <v>379</v>
      </c>
      <c r="F211" s="362">
        <v>7</v>
      </c>
      <c r="G211" s="362">
        <v>7.1859000000000002</v>
      </c>
      <c r="H211" s="363" t="s">
        <v>178</v>
      </c>
      <c r="I211" s="364">
        <v>2200</v>
      </c>
      <c r="J211" s="364">
        <v>4000</v>
      </c>
      <c r="K211" s="364">
        <v>2199.94</v>
      </c>
      <c r="L211" s="365">
        <v>1</v>
      </c>
    </row>
    <row r="212" spans="1:12" s="284" customFormat="1" ht="20.399999999999999" x14ac:dyDescent="0.45">
      <c r="A212" s="360" t="s">
        <v>213</v>
      </c>
      <c r="B212" s="361" t="s">
        <v>169</v>
      </c>
      <c r="C212" s="362">
        <v>100.9517</v>
      </c>
      <c r="D212" s="362">
        <v>8</v>
      </c>
      <c r="E212" s="421" t="s">
        <v>380</v>
      </c>
      <c r="F212" s="362">
        <v>7.6027199999999997</v>
      </c>
      <c r="G212" s="362">
        <v>7.8222300000000002</v>
      </c>
      <c r="H212" s="363" t="s">
        <v>178</v>
      </c>
      <c r="I212" s="364">
        <v>20000</v>
      </c>
      <c r="J212" s="364">
        <v>21276.6</v>
      </c>
      <c r="K212" s="364">
        <v>20190.34</v>
      </c>
      <c r="L212" s="365">
        <v>2</v>
      </c>
    </row>
    <row r="213" spans="1:12" s="284" customFormat="1" ht="20.399999999999999" x14ac:dyDescent="0.45">
      <c r="A213" s="360" t="s">
        <v>381</v>
      </c>
      <c r="B213" s="361" t="s">
        <v>169</v>
      </c>
      <c r="C213" s="362">
        <v>102.4499</v>
      </c>
      <c r="D213" s="362">
        <v>9</v>
      </c>
      <c r="E213" s="421" t="s">
        <v>382</v>
      </c>
      <c r="F213" s="362">
        <v>7.7706</v>
      </c>
      <c r="G213" s="362">
        <v>7.9999799999999999</v>
      </c>
      <c r="H213" s="363" t="s">
        <v>178</v>
      </c>
      <c r="I213" s="364">
        <v>30033.3</v>
      </c>
      <c r="J213" s="364">
        <v>31350</v>
      </c>
      <c r="K213" s="364">
        <v>30769.08</v>
      </c>
      <c r="L213" s="365">
        <v>3</v>
      </c>
    </row>
    <row r="214" spans="1:12" s="284" customFormat="1" ht="20.399999999999999" x14ac:dyDescent="0.45">
      <c r="A214" s="360" t="s">
        <v>216</v>
      </c>
      <c r="B214" s="361" t="s">
        <v>169</v>
      </c>
      <c r="C214" s="362">
        <v>97.860299999999995</v>
      </c>
      <c r="D214" s="362">
        <v>9</v>
      </c>
      <c r="E214" s="421" t="s">
        <v>383</v>
      </c>
      <c r="F214" s="362">
        <v>9.9</v>
      </c>
      <c r="G214" s="362">
        <v>10.273630000000001</v>
      </c>
      <c r="H214" s="363" t="s">
        <v>178</v>
      </c>
      <c r="I214" s="364">
        <v>10000</v>
      </c>
      <c r="J214" s="364">
        <v>10000</v>
      </c>
      <c r="K214" s="364">
        <v>9786.0400000000009</v>
      </c>
      <c r="L214" s="365">
        <v>1</v>
      </c>
    </row>
    <row r="215" spans="1:12" s="284" customFormat="1" ht="20.399999999999999" x14ac:dyDescent="0.45">
      <c r="A215" s="360" t="s">
        <v>384</v>
      </c>
      <c r="B215" s="361" t="s">
        <v>169</v>
      </c>
      <c r="C215" s="362">
        <v>97.245500000000007</v>
      </c>
      <c r="D215" s="362">
        <v>8</v>
      </c>
      <c r="E215" s="421" t="s">
        <v>385</v>
      </c>
      <c r="F215" s="362">
        <v>9.9</v>
      </c>
      <c r="G215" s="362">
        <v>10.273630000000001</v>
      </c>
      <c r="H215" s="363" t="s">
        <v>178</v>
      </c>
      <c r="I215" s="364">
        <v>7055.3</v>
      </c>
      <c r="J215" s="364">
        <v>10079</v>
      </c>
      <c r="K215" s="364">
        <v>6860.96</v>
      </c>
      <c r="L215" s="365">
        <v>2</v>
      </c>
    </row>
    <row r="216" spans="1:12" s="284" customFormat="1" ht="20.399999999999999" x14ac:dyDescent="0.45">
      <c r="A216" s="360" t="s">
        <v>384</v>
      </c>
      <c r="B216" s="361" t="s">
        <v>169</v>
      </c>
      <c r="C216" s="362">
        <v>97.236000000000004</v>
      </c>
      <c r="D216" s="362">
        <v>8</v>
      </c>
      <c r="E216" s="421" t="s">
        <v>386</v>
      </c>
      <c r="F216" s="362">
        <v>9.9</v>
      </c>
      <c r="G216" s="362">
        <v>10.273630000000001</v>
      </c>
      <c r="H216" s="363" t="s">
        <v>178</v>
      </c>
      <c r="I216" s="364">
        <v>7029.4</v>
      </c>
      <c r="J216" s="364">
        <v>10042</v>
      </c>
      <c r="K216" s="364">
        <v>6835.11</v>
      </c>
      <c r="L216" s="365">
        <v>1</v>
      </c>
    </row>
    <row r="217" spans="1:12" s="284" customFormat="1" ht="20.399999999999999" x14ac:dyDescent="0.45">
      <c r="A217" s="360" t="s">
        <v>218</v>
      </c>
      <c r="B217" s="361" t="s">
        <v>169</v>
      </c>
      <c r="C217" s="362">
        <v>99.591399999999993</v>
      </c>
      <c r="D217" s="362">
        <v>8</v>
      </c>
      <c r="E217" s="421" t="s">
        <v>387</v>
      </c>
      <c r="F217" s="362">
        <v>8.2800700000000003</v>
      </c>
      <c r="G217" s="362">
        <v>8.5407399999999996</v>
      </c>
      <c r="H217" s="363" t="s">
        <v>178</v>
      </c>
      <c r="I217" s="364">
        <v>553845.6</v>
      </c>
      <c r="J217" s="364">
        <v>777000</v>
      </c>
      <c r="K217" s="364">
        <v>551582.59</v>
      </c>
      <c r="L217" s="365">
        <v>1</v>
      </c>
    </row>
    <row r="218" spans="1:12" s="284" customFormat="1" ht="20.399999999999999" x14ac:dyDescent="0.45">
      <c r="A218" s="360" t="s">
        <v>218</v>
      </c>
      <c r="B218" s="361" t="s">
        <v>169</v>
      </c>
      <c r="C218" s="362">
        <v>98.276700000000005</v>
      </c>
      <c r="D218" s="362">
        <v>9</v>
      </c>
      <c r="E218" s="421" t="s">
        <v>388</v>
      </c>
      <c r="F218" s="362">
        <v>9.9</v>
      </c>
      <c r="G218" s="362">
        <v>10.273630000000001</v>
      </c>
      <c r="H218" s="363" t="s">
        <v>178</v>
      </c>
      <c r="I218" s="364">
        <v>16873.2</v>
      </c>
      <c r="J218" s="364">
        <v>18748</v>
      </c>
      <c r="K218" s="364">
        <v>16582.43</v>
      </c>
      <c r="L218" s="365">
        <v>1</v>
      </c>
    </row>
    <row r="219" spans="1:12" s="284" customFormat="1" ht="20.399999999999999" x14ac:dyDescent="0.45">
      <c r="A219" s="360" t="s">
        <v>218</v>
      </c>
      <c r="B219" s="361" t="s">
        <v>169</v>
      </c>
      <c r="C219" s="362">
        <v>98.134399999999999</v>
      </c>
      <c r="D219" s="362">
        <v>9</v>
      </c>
      <c r="E219" s="421" t="s">
        <v>389</v>
      </c>
      <c r="F219" s="362">
        <v>9.9499999999999993</v>
      </c>
      <c r="G219" s="362">
        <v>10.327450000000001</v>
      </c>
      <c r="H219" s="363" t="s">
        <v>178</v>
      </c>
      <c r="I219" s="364">
        <v>66250.8</v>
      </c>
      <c r="J219" s="364">
        <v>73612</v>
      </c>
      <c r="K219" s="364">
        <v>65014.879999999997</v>
      </c>
      <c r="L219" s="365">
        <v>1</v>
      </c>
    </row>
    <row r="220" spans="1:12" s="284" customFormat="1" ht="20.399999999999999" x14ac:dyDescent="0.45">
      <c r="A220" s="360" t="s">
        <v>219</v>
      </c>
      <c r="B220" s="361" t="s">
        <v>169</v>
      </c>
      <c r="C220" s="362">
        <v>98.678399999999996</v>
      </c>
      <c r="D220" s="362">
        <v>9</v>
      </c>
      <c r="E220" s="421" t="s">
        <v>390</v>
      </c>
      <c r="F220" s="362">
        <v>9.9499999999999993</v>
      </c>
      <c r="G220" s="362">
        <v>10.327450000000001</v>
      </c>
      <c r="H220" s="363" t="s">
        <v>178</v>
      </c>
      <c r="I220" s="364">
        <v>150000</v>
      </c>
      <c r="J220" s="364">
        <v>150000</v>
      </c>
      <c r="K220" s="364">
        <v>148017.67000000001</v>
      </c>
      <c r="L220" s="365">
        <v>1</v>
      </c>
    </row>
    <row r="221" spans="1:12" s="284" customFormat="1" ht="20.399999999999999" x14ac:dyDescent="0.45">
      <c r="A221" s="360" t="s">
        <v>219</v>
      </c>
      <c r="B221" s="361" t="s">
        <v>169</v>
      </c>
      <c r="C221" s="362">
        <v>98.669899999999998</v>
      </c>
      <c r="D221" s="362">
        <v>9</v>
      </c>
      <c r="E221" s="421" t="s">
        <v>391</v>
      </c>
      <c r="F221" s="362">
        <v>9.9499999999999993</v>
      </c>
      <c r="G221" s="362">
        <v>10.327450000000001</v>
      </c>
      <c r="H221" s="363" t="s">
        <v>178</v>
      </c>
      <c r="I221" s="364">
        <v>150000</v>
      </c>
      <c r="J221" s="364">
        <v>150000</v>
      </c>
      <c r="K221" s="364">
        <v>148004.93</v>
      </c>
      <c r="L221" s="365">
        <v>1</v>
      </c>
    </row>
    <row r="222" spans="1:12" s="284" customFormat="1" ht="20.399999999999999" x14ac:dyDescent="0.45">
      <c r="A222" s="360" t="s">
        <v>219</v>
      </c>
      <c r="B222" s="361" t="s">
        <v>169</v>
      </c>
      <c r="C222" s="362">
        <v>98.659499999999994</v>
      </c>
      <c r="D222" s="362">
        <v>9</v>
      </c>
      <c r="E222" s="421" t="s">
        <v>392</v>
      </c>
      <c r="F222" s="362">
        <v>9.9499999999999993</v>
      </c>
      <c r="G222" s="362">
        <v>10.327450000000001</v>
      </c>
      <c r="H222" s="363" t="s">
        <v>178</v>
      </c>
      <c r="I222" s="364">
        <v>150000</v>
      </c>
      <c r="J222" s="364">
        <v>150000</v>
      </c>
      <c r="K222" s="364">
        <v>147989.26</v>
      </c>
      <c r="L222" s="365">
        <v>1</v>
      </c>
    </row>
    <row r="223" spans="1:12" s="284" customFormat="1" ht="20.399999999999999" x14ac:dyDescent="0.45">
      <c r="A223" s="360" t="s">
        <v>219</v>
      </c>
      <c r="B223" s="361" t="s">
        <v>169</v>
      </c>
      <c r="C223" s="362">
        <v>98.619500000000002</v>
      </c>
      <c r="D223" s="362">
        <v>9</v>
      </c>
      <c r="E223" s="421" t="s">
        <v>393</v>
      </c>
      <c r="F223" s="362">
        <v>9.9499999999999993</v>
      </c>
      <c r="G223" s="362">
        <v>10.327450000000001</v>
      </c>
      <c r="H223" s="363" t="s">
        <v>178</v>
      </c>
      <c r="I223" s="364">
        <v>130000</v>
      </c>
      <c r="J223" s="364">
        <v>130000</v>
      </c>
      <c r="K223" s="364">
        <v>128205.42</v>
      </c>
      <c r="L223" s="365">
        <v>1</v>
      </c>
    </row>
    <row r="224" spans="1:12" s="284" customFormat="1" ht="20.399999999999999" x14ac:dyDescent="0.45">
      <c r="A224" s="360" t="s">
        <v>221</v>
      </c>
      <c r="B224" s="361" t="s">
        <v>169</v>
      </c>
      <c r="C224" s="362">
        <v>101.6495</v>
      </c>
      <c r="D224" s="362">
        <v>9</v>
      </c>
      <c r="E224" s="421" t="s">
        <v>394</v>
      </c>
      <c r="F224" s="362">
        <v>7.7706299999999997</v>
      </c>
      <c r="G224" s="362">
        <v>8.0000099999999996</v>
      </c>
      <c r="H224" s="363" t="s">
        <v>178</v>
      </c>
      <c r="I224" s="364">
        <v>30145.68</v>
      </c>
      <c r="J224" s="364">
        <v>44700</v>
      </c>
      <c r="K224" s="364">
        <v>30642.93</v>
      </c>
      <c r="L224" s="365">
        <v>3</v>
      </c>
    </row>
    <row r="225" spans="1:12" s="284" customFormat="1" ht="20.399999999999999" x14ac:dyDescent="0.45">
      <c r="A225" s="360" t="s">
        <v>222</v>
      </c>
      <c r="B225" s="361" t="s">
        <v>169</v>
      </c>
      <c r="C225" s="362">
        <v>95.793999999999997</v>
      </c>
      <c r="D225" s="362">
        <v>8</v>
      </c>
      <c r="E225" s="421" t="s">
        <v>395</v>
      </c>
      <c r="F225" s="362">
        <v>10</v>
      </c>
      <c r="G225" s="362">
        <v>10.38128</v>
      </c>
      <c r="H225" s="363" t="s">
        <v>178</v>
      </c>
      <c r="I225" s="364">
        <v>10000</v>
      </c>
      <c r="J225" s="364">
        <v>10000</v>
      </c>
      <c r="K225" s="364">
        <v>9579.4</v>
      </c>
      <c r="L225" s="365">
        <v>1</v>
      </c>
    </row>
    <row r="226" spans="1:12" s="284" customFormat="1" ht="20.399999999999999" x14ac:dyDescent="0.45">
      <c r="A226" s="360" t="s">
        <v>396</v>
      </c>
      <c r="B226" s="361" t="s">
        <v>169</v>
      </c>
      <c r="C226" s="362">
        <v>99.347399999999993</v>
      </c>
      <c r="D226" s="362">
        <v>8.5</v>
      </c>
      <c r="E226" s="421" t="s">
        <v>397</v>
      </c>
      <c r="F226" s="362">
        <v>9</v>
      </c>
      <c r="G226" s="362">
        <v>9.3083299999999998</v>
      </c>
      <c r="H226" s="363" t="s">
        <v>178</v>
      </c>
      <c r="I226" s="364">
        <v>550020</v>
      </c>
      <c r="J226" s="364">
        <v>600000</v>
      </c>
      <c r="K226" s="364">
        <v>546430.63</v>
      </c>
      <c r="L226" s="365">
        <v>1</v>
      </c>
    </row>
    <row r="227" spans="1:12" s="284" customFormat="1" ht="20.399999999999999" x14ac:dyDescent="0.45">
      <c r="A227" s="360" t="s">
        <v>398</v>
      </c>
      <c r="B227" s="361" t="s">
        <v>169</v>
      </c>
      <c r="C227" s="362">
        <v>103.6093</v>
      </c>
      <c r="D227" s="362">
        <v>9</v>
      </c>
      <c r="E227" s="421" t="s">
        <v>399</v>
      </c>
      <c r="F227" s="362">
        <v>7.5817100000000002</v>
      </c>
      <c r="G227" s="362">
        <v>7.8</v>
      </c>
      <c r="H227" s="363" t="s">
        <v>178</v>
      </c>
      <c r="I227" s="364">
        <v>30087.72</v>
      </c>
      <c r="J227" s="364">
        <v>35100</v>
      </c>
      <c r="K227" s="364">
        <v>31173.69</v>
      </c>
      <c r="L227" s="365">
        <v>3</v>
      </c>
    </row>
    <row r="228" spans="1:12" s="284" customFormat="1" ht="20.399999999999999" x14ac:dyDescent="0.45">
      <c r="A228" s="360" t="s">
        <v>223</v>
      </c>
      <c r="B228" s="361" t="s">
        <v>169</v>
      </c>
      <c r="C228" s="362">
        <v>98.677300000000002</v>
      </c>
      <c r="D228" s="362">
        <v>8.5</v>
      </c>
      <c r="E228" s="421" t="s">
        <v>400</v>
      </c>
      <c r="F228" s="362">
        <v>9.25</v>
      </c>
      <c r="G228" s="362">
        <v>9.5758299999999998</v>
      </c>
      <c r="H228" s="363" t="s">
        <v>178</v>
      </c>
      <c r="I228" s="364">
        <v>44548.5</v>
      </c>
      <c r="J228" s="364">
        <v>52410</v>
      </c>
      <c r="K228" s="364">
        <v>43959.26</v>
      </c>
      <c r="L228" s="365">
        <v>2</v>
      </c>
    </row>
    <row r="229" spans="1:12" s="284" customFormat="1" ht="20.399999999999999" x14ac:dyDescent="0.45">
      <c r="A229" s="360" t="s">
        <v>224</v>
      </c>
      <c r="B229" s="361" t="s">
        <v>169</v>
      </c>
      <c r="C229" s="362">
        <v>98.177599999999998</v>
      </c>
      <c r="D229" s="362">
        <v>9</v>
      </c>
      <c r="E229" s="421" t="s">
        <v>401</v>
      </c>
      <c r="F229" s="362">
        <v>9.9</v>
      </c>
      <c r="G229" s="362">
        <v>10.273630000000001</v>
      </c>
      <c r="H229" s="363" t="s">
        <v>178</v>
      </c>
      <c r="I229" s="364">
        <v>20483.900000000001</v>
      </c>
      <c r="J229" s="364">
        <v>21562</v>
      </c>
      <c r="K229" s="364">
        <v>20110.61</v>
      </c>
      <c r="L229" s="365">
        <v>2</v>
      </c>
    </row>
    <row r="230" spans="1:12" s="284" customFormat="1" ht="20.399999999999999" x14ac:dyDescent="0.45">
      <c r="A230" s="360" t="s">
        <v>224</v>
      </c>
      <c r="B230" s="361" t="s">
        <v>169</v>
      </c>
      <c r="C230" s="362">
        <v>98.16</v>
      </c>
      <c r="D230" s="362">
        <v>9</v>
      </c>
      <c r="E230" s="421" t="s">
        <v>402</v>
      </c>
      <c r="F230" s="362">
        <v>9.9</v>
      </c>
      <c r="G230" s="362">
        <v>10.273630000000001</v>
      </c>
      <c r="H230" s="363" t="s">
        <v>178</v>
      </c>
      <c r="I230" s="364">
        <v>12166.65</v>
      </c>
      <c r="J230" s="364">
        <v>12807</v>
      </c>
      <c r="K230" s="364">
        <v>11942.79</v>
      </c>
      <c r="L230" s="365">
        <v>2</v>
      </c>
    </row>
    <row r="231" spans="1:12" s="284" customFormat="1" ht="20.399999999999999" x14ac:dyDescent="0.45">
      <c r="A231" s="360" t="s">
        <v>224</v>
      </c>
      <c r="B231" s="361" t="s">
        <v>169</v>
      </c>
      <c r="C231" s="362">
        <v>98.135599999999997</v>
      </c>
      <c r="D231" s="362">
        <v>9</v>
      </c>
      <c r="E231" s="421" t="s">
        <v>403</v>
      </c>
      <c r="F231" s="362">
        <v>9.9</v>
      </c>
      <c r="G231" s="362">
        <v>10.273630000000001</v>
      </c>
      <c r="H231" s="363" t="s">
        <v>178</v>
      </c>
      <c r="I231" s="364">
        <v>6828.6</v>
      </c>
      <c r="J231" s="364">
        <v>7188</v>
      </c>
      <c r="K231" s="364">
        <v>6701.29</v>
      </c>
      <c r="L231" s="365">
        <v>2</v>
      </c>
    </row>
    <row r="232" spans="1:12" s="284" customFormat="1" ht="20.399999999999999" x14ac:dyDescent="0.45">
      <c r="A232" s="360" t="s">
        <v>404</v>
      </c>
      <c r="B232" s="361" t="s">
        <v>169</v>
      </c>
      <c r="C232" s="362">
        <v>99.477199999999996</v>
      </c>
      <c r="D232" s="362">
        <v>8.5</v>
      </c>
      <c r="E232" s="421" t="s">
        <v>220</v>
      </c>
      <c r="F232" s="362">
        <v>9</v>
      </c>
      <c r="G232" s="362">
        <v>9.3083299999999998</v>
      </c>
      <c r="H232" s="363" t="s">
        <v>178</v>
      </c>
      <c r="I232" s="364">
        <v>175000</v>
      </c>
      <c r="J232" s="364">
        <v>175000</v>
      </c>
      <c r="K232" s="364">
        <v>174085.12</v>
      </c>
      <c r="L232" s="365">
        <v>1</v>
      </c>
    </row>
    <row r="233" spans="1:12" s="284" customFormat="1" ht="20.399999999999999" x14ac:dyDescent="0.45">
      <c r="A233" s="360" t="s">
        <v>404</v>
      </c>
      <c r="B233" s="361" t="s">
        <v>169</v>
      </c>
      <c r="C233" s="362">
        <v>99.013199999999998</v>
      </c>
      <c r="D233" s="362">
        <v>8.5</v>
      </c>
      <c r="E233" s="421" t="s">
        <v>405</v>
      </c>
      <c r="F233" s="362">
        <v>9.5</v>
      </c>
      <c r="G233" s="362">
        <v>9.8438199999999991</v>
      </c>
      <c r="H233" s="363" t="s">
        <v>178</v>
      </c>
      <c r="I233" s="364">
        <v>300000</v>
      </c>
      <c r="J233" s="364">
        <v>300000</v>
      </c>
      <c r="K233" s="364">
        <v>297039.74</v>
      </c>
      <c r="L233" s="365">
        <v>1</v>
      </c>
    </row>
    <row r="234" spans="1:12" s="283" customFormat="1" ht="20.399999999999999" x14ac:dyDescent="0.45">
      <c r="A234" s="312" t="s">
        <v>174</v>
      </c>
      <c r="B234" s="366"/>
      <c r="C234" s="367"/>
      <c r="D234" s="367"/>
      <c r="E234" s="422"/>
      <c r="F234" s="367"/>
      <c r="G234" s="367"/>
      <c r="H234" s="368"/>
      <c r="I234" s="369">
        <f>SUM(I178:I233)</f>
        <v>7116825.4299999997</v>
      </c>
      <c r="J234" s="369">
        <f t="shared" ref="J234:K234" si="12">SUM(J178:J233)</f>
        <v>8061434.2999999998</v>
      </c>
      <c r="K234" s="369">
        <f t="shared" si="12"/>
        <v>6982489.0000000009</v>
      </c>
      <c r="L234" s="314">
        <f>SUM(L178:L233)</f>
        <v>78</v>
      </c>
    </row>
    <row r="235" spans="1:12" s="283" customFormat="1" ht="20.399999999999999" x14ac:dyDescent="0.45">
      <c r="A235" s="312" t="s">
        <v>226</v>
      </c>
      <c r="B235" s="366"/>
      <c r="C235" s="367"/>
      <c r="D235" s="367"/>
      <c r="E235" s="422"/>
      <c r="F235" s="367"/>
      <c r="G235" s="367"/>
      <c r="H235" s="368"/>
      <c r="I235" s="369"/>
      <c r="J235" s="369"/>
      <c r="K235" s="369"/>
      <c r="L235" s="314"/>
    </row>
    <row r="236" spans="1:12" s="284" customFormat="1" ht="20.399999999999999" x14ac:dyDescent="0.45">
      <c r="A236" s="360" t="s">
        <v>406</v>
      </c>
      <c r="B236" s="361" t="s">
        <v>169</v>
      </c>
      <c r="C236" s="362">
        <v>95.6708</v>
      </c>
      <c r="D236" s="362"/>
      <c r="E236" s="421" t="s">
        <v>229</v>
      </c>
      <c r="F236" s="362">
        <v>9</v>
      </c>
      <c r="G236" s="362">
        <v>9.2009999999999987</v>
      </c>
      <c r="H236" s="363" t="s">
        <v>170</v>
      </c>
      <c r="I236" s="364">
        <v>251451</v>
      </c>
      <c r="J236" s="364">
        <v>251451</v>
      </c>
      <c r="K236" s="364">
        <v>240565.42</v>
      </c>
      <c r="L236" s="365">
        <v>3</v>
      </c>
    </row>
    <row r="237" spans="1:12" s="284" customFormat="1" ht="20.399999999999999" x14ac:dyDescent="0.45">
      <c r="A237" s="360" t="s">
        <v>406</v>
      </c>
      <c r="B237" s="361" t="s">
        <v>169</v>
      </c>
      <c r="C237" s="362">
        <v>94.996200000000002</v>
      </c>
      <c r="D237" s="362"/>
      <c r="E237" s="421" t="s">
        <v>407</v>
      </c>
      <c r="F237" s="362">
        <v>9.25</v>
      </c>
      <c r="G237" s="362">
        <v>9.4329999999999998</v>
      </c>
      <c r="H237" s="363" t="s">
        <v>170</v>
      </c>
      <c r="I237" s="364">
        <v>24100</v>
      </c>
      <c r="J237" s="364">
        <v>24100</v>
      </c>
      <c r="K237" s="364">
        <v>22894.09</v>
      </c>
      <c r="L237" s="365">
        <v>1</v>
      </c>
    </row>
    <row r="238" spans="1:12" s="284" customFormat="1" ht="20.399999999999999" x14ac:dyDescent="0.45">
      <c r="A238" s="360" t="s">
        <v>406</v>
      </c>
      <c r="B238" s="361" t="s">
        <v>169</v>
      </c>
      <c r="C238" s="362">
        <v>94.695700000000002</v>
      </c>
      <c r="D238" s="362"/>
      <c r="E238" s="421" t="s">
        <v>408</v>
      </c>
      <c r="F238" s="362">
        <v>9.25</v>
      </c>
      <c r="G238" s="362">
        <v>9.4169999999999998</v>
      </c>
      <c r="H238" s="363" t="s">
        <v>170</v>
      </c>
      <c r="I238" s="364">
        <v>11000</v>
      </c>
      <c r="J238" s="364">
        <v>11000</v>
      </c>
      <c r="K238" s="364">
        <v>10416.530000000001</v>
      </c>
      <c r="L238" s="365">
        <v>2</v>
      </c>
    </row>
    <row r="239" spans="1:12" s="284" customFormat="1" ht="20.399999999999999" x14ac:dyDescent="0.45">
      <c r="A239" s="360" t="s">
        <v>409</v>
      </c>
      <c r="B239" s="361" t="s">
        <v>169</v>
      </c>
      <c r="C239" s="362">
        <v>95.579400000000007</v>
      </c>
      <c r="D239" s="362"/>
      <c r="E239" s="421" t="s">
        <v>231</v>
      </c>
      <c r="F239" s="362">
        <v>9.25</v>
      </c>
      <c r="G239" s="362">
        <v>9.463000000000001</v>
      </c>
      <c r="H239" s="363" t="s">
        <v>170</v>
      </c>
      <c r="I239" s="364">
        <v>297014</v>
      </c>
      <c r="J239" s="364">
        <v>297014</v>
      </c>
      <c r="K239" s="364">
        <v>283884.34999999998</v>
      </c>
      <c r="L239" s="365">
        <v>5</v>
      </c>
    </row>
    <row r="240" spans="1:12" s="284" customFormat="1" ht="20.399999999999999" x14ac:dyDescent="0.45">
      <c r="A240" s="360" t="s">
        <v>409</v>
      </c>
      <c r="B240" s="361" t="s">
        <v>169</v>
      </c>
      <c r="C240" s="362">
        <v>95.555899999999994</v>
      </c>
      <c r="D240" s="362"/>
      <c r="E240" s="421" t="s">
        <v>229</v>
      </c>
      <c r="F240" s="362">
        <v>9.25</v>
      </c>
      <c r="G240" s="362">
        <v>9.4619999999999997</v>
      </c>
      <c r="H240" s="363" t="s">
        <v>170</v>
      </c>
      <c r="I240" s="364">
        <v>350582</v>
      </c>
      <c r="J240" s="364">
        <v>350582</v>
      </c>
      <c r="K240" s="364">
        <v>335002.08</v>
      </c>
      <c r="L240" s="365">
        <v>5</v>
      </c>
    </row>
    <row r="241" spans="1:12" s="284" customFormat="1" ht="20.399999999999999" x14ac:dyDescent="0.45">
      <c r="A241" s="360" t="s">
        <v>409</v>
      </c>
      <c r="B241" s="361" t="s">
        <v>169</v>
      </c>
      <c r="C241" s="362">
        <v>91.183599999999998</v>
      </c>
      <c r="D241" s="362"/>
      <c r="E241" s="421" t="s">
        <v>191</v>
      </c>
      <c r="F241" s="362">
        <v>9.75</v>
      </c>
      <c r="G241" s="362">
        <v>9.7530000000000001</v>
      </c>
      <c r="H241" s="363" t="s">
        <v>170</v>
      </c>
      <c r="I241" s="364">
        <v>10904</v>
      </c>
      <c r="J241" s="364">
        <v>10904</v>
      </c>
      <c r="K241" s="364">
        <v>9942.67</v>
      </c>
      <c r="L241" s="365">
        <v>1</v>
      </c>
    </row>
    <row r="242" spans="1:12" s="284" customFormat="1" ht="20.399999999999999" x14ac:dyDescent="0.45">
      <c r="A242" s="360" t="s">
        <v>409</v>
      </c>
      <c r="B242" s="361" t="s">
        <v>169</v>
      </c>
      <c r="C242" s="362">
        <v>91.138599999999997</v>
      </c>
      <c r="D242" s="362"/>
      <c r="E242" s="421" t="s">
        <v>234</v>
      </c>
      <c r="F242" s="362">
        <v>9.75</v>
      </c>
      <c r="G242" s="362">
        <v>9.7509999999999994</v>
      </c>
      <c r="H242" s="363" t="s">
        <v>170</v>
      </c>
      <c r="I242" s="364">
        <v>155339</v>
      </c>
      <c r="J242" s="364">
        <v>155339</v>
      </c>
      <c r="K242" s="364">
        <v>141573.89000000001</v>
      </c>
      <c r="L242" s="365">
        <v>4</v>
      </c>
    </row>
    <row r="243" spans="1:12" s="284" customFormat="1" ht="20.399999999999999" x14ac:dyDescent="0.45">
      <c r="A243" s="360" t="s">
        <v>227</v>
      </c>
      <c r="B243" s="361" t="s">
        <v>169</v>
      </c>
      <c r="C243" s="362">
        <v>97.378799999999998</v>
      </c>
      <c r="D243" s="362"/>
      <c r="E243" s="421" t="s">
        <v>410</v>
      </c>
      <c r="F243" s="362">
        <v>9.5</v>
      </c>
      <c r="G243" s="362">
        <v>9.827</v>
      </c>
      <c r="H243" s="363" t="s">
        <v>170</v>
      </c>
      <c r="I243" s="364">
        <v>20638</v>
      </c>
      <c r="J243" s="364">
        <v>20638</v>
      </c>
      <c r="K243" s="364">
        <v>20097.05</v>
      </c>
      <c r="L243" s="365">
        <v>1</v>
      </c>
    </row>
    <row r="244" spans="1:12" s="284" customFormat="1" ht="20.399999999999999" x14ac:dyDescent="0.45">
      <c r="A244" s="360" t="s">
        <v>227</v>
      </c>
      <c r="B244" s="361" t="s">
        <v>169</v>
      </c>
      <c r="C244" s="362">
        <v>95.871499999999997</v>
      </c>
      <c r="D244" s="362"/>
      <c r="E244" s="421" t="s">
        <v>411</v>
      </c>
      <c r="F244" s="362">
        <v>9.75</v>
      </c>
      <c r="G244" s="362">
        <v>10.016</v>
      </c>
      <c r="H244" s="363" t="s">
        <v>170</v>
      </c>
      <c r="I244" s="364">
        <v>250000</v>
      </c>
      <c r="J244" s="364">
        <v>250000</v>
      </c>
      <c r="K244" s="364">
        <v>239678.83</v>
      </c>
      <c r="L244" s="365">
        <v>1</v>
      </c>
    </row>
    <row r="245" spans="1:12" s="284" customFormat="1" ht="20.399999999999999" x14ac:dyDescent="0.45">
      <c r="A245" s="360" t="s">
        <v>227</v>
      </c>
      <c r="B245" s="361" t="s">
        <v>169</v>
      </c>
      <c r="C245" s="362">
        <v>95.351600000000005</v>
      </c>
      <c r="D245" s="362"/>
      <c r="E245" s="421" t="s">
        <v>231</v>
      </c>
      <c r="F245" s="362">
        <v>9.75</v>
      </c>
      <c r="G245" s="362">
        <v>9.9870000000000001</v>
      </c>
      <c r="H245" s="363" t="s">
        <v>170</v>
      </c>
      <c r="I245" s="364">
        <v>69500</v>
      </c>
      <c r="J245" s="364">
        <v>69500</v>
      </c>
      <c r="K245" s="364">
        <v>66269.36</v>
      </c>
      <c r="L245" s="365">
        <v>2</v>
      </c>
    </row>
    <row r="246" spans="1:12" s="284" customFormat="1" ht="20.399999999999999" x14ac:dyDescent="0.45">
      <c r="A246" s="360" t="s">
        <v>228</v>
      </c>
      <c r="B246" s="361" t="s">
        <v>169</v>
      </c>
      <c r="C246" s="362">
        <v>99.764399999999995</v>
      </c>
      <c r="D246" s="362"/>
      <c r="E246" s="421" t="s">
        <v>412</v>
      </c>
      <c r="F246" s="362">
        <v>8.5</v>
      </c>
      <c r="G246" s="362">
        <v>8.86</v>
      </c>
      <c r="H246" s="363" t="s">
        <v>170</v>
      </c>
      <c r="I246" s="364">
        <v>10240</v>
      </c>
      <c r="J246" s="364">
        <v>10240</v>
      </c>
      <c r="K246" s="364">
        <v>10215.879999999999</v>
      </c>
      <c r="L246" s="365">
        <v>1</v>
      </c>
    </row>
    <row r="247" spans="1:12" s="284" customFormat="1" ht="20.399999999999999" x14ac:dyDescent="0.45">
      <c r="A247" s="360" t="s">
        <v>202</v>
      </c>
      <c r="B247" s="361" t="s">
        <v>169</v>
      </c>
      <c r="C247" s="362">
        <v>97.919200000000004</v>
      </c>
      <c r="D247" s="362"/>
      <c r="E247" s="421" t="s">
        <v>188</v>
      </c>
      <c r="F247" s="362">
        <v>8.5</v>
      </c>
      <c r="G247" s="362">
        <v>8.7739999999999991</v>
      </c>
      <c r="H247" s="363" t="s">
        <v>170</v>
      </c>
      <c r="I247" s="364">
        <v>11881</v>
      </c>
      <c r="J247" s="364">
        <v>11881</v>
      </c>
      <c r="K247" s="364">
        <v>11633.78</v>
      </c>
      <c r="L247" s="365">
        <v>1</v>
      </c>
    </row>
    <row r="248" spans="1:12" s="284" customFormat="1" ht="20.399999999999999" x14ac:dyDescent="0.45">
      <c r="A248" s="360" t="s">
        <v>202</v>
      </c>
      <c r="B248" s="361" t="s">
        <v>169</v>
      </c>
      <c r="C248" s="362">
        <v>97.896500000000003</v>
      </c>
      <c r="D248" s="362"/>
      <c r="E248" s="421" t="s">
        <v>189</v>
      </c>
      <c r="F248" s="362">
        <v>8.5</v>
      </c>
      <c r="G248" s="362">
        <v>8.7729999999999997</v>
      </c>
      <c r="H248" s="363" t="s">
        <v>170</v>
      </c>
      <c r="I248" s="364">
        <v>22000</v>
      </c>
      <c r="J248" s="364">
        <v>22000</v>
      </c>
      <c r="K248" s="364">
        <v>21537.25</v>
      </c>
      <c r="L248" s="365">
        <v>1</v>
      </c>
    </row>
    <row r="249" spans="1:12" s="284" customFormat="1" ht="20.399999999999999" x14ac:dyDescent="0.45">
      <c r="A249" s="360" t="s">
        <v>203</v>
      </c>
      <c r="B249" s="361" t="s">
        <v>169</v>
      </c>
      <c r="C249" s="362">
        <v>97.780900000000003</v>
      </c>
      <c r="D249" s="362"/>
      <c r="E249" s="421" t="s">
        <v>266</v>
      </c>
      <c r="F249" s="362">
        <v>9.5</v>
      </c>
      <c r="G249" s="362">
        <v>9.8490000000000002</v>
      </c>
      <c r="H249" s="363" t="s">
        <v>170</v>
      </c>
      <c r="I249" s="364">
        <v>2650</v>
      </c>
      <c r="J249" s="364">
        <v>2650</v>
      </c>
      <c r="K249" s="364">
        <v>2591.19</v>
      </c>
      <c r="L249" s="365">
        <v>1</v>
      </c>
    </row>
    <row r="250" spans="1:12" s="284" customFormat="1" ht="20.399999999999999" x14ac:dyDescent="0.45">
      <c r="A250" s="360" t="s">
        <v>203</v>
      </c>
      <c r="B250" s="361" t="s">
        <v>169</v>
      </c>
      <c r="C250" s="362">
        <v>98.084800000000001</v>
      </c>
      <c r="D250" s="362"/>
      <c r="E250" s="421" t="s">
        <v>413</v>
      </c>
      <c r="F250" s="362">
        <v>9.9</v>
      </c>
      <c r="G250" s="362">
        <v>10.301</v>
      </c>
      <c r="H250" s="363" t="s">
        <v>170</v>
      </c>
      <c r="I250" s="364">
        <v>10185</v>
      </c>
      <c r="J250" s="364">
        <v>10185</v>
      </c>
      <c r="K250" s="364">
        <v>9989.9500000000007</v>
      </c>
      <c r="L250" s="365">
        <v>1</v>
      </c>
    </row>
    <row r="251" spans="1:12" s="284" customFormat="1" ht="20.399999999999999" x14ac:dyDescent="0.45">
      <c r="A251" s="360" t="s">
        <v>203</v>
      </c>
      <c r="B251" s="361" t="s">
        <v>169</v>
      </c>
      <c r="C251" s="362">
        <v>96.805400000000006</v>
      </c>
      <c r="D251" s="362"/>
      <c r="E251" s="421" t="s">
        <v>190</v>
      </c>
      <c r="F251" s="362">
        <v>9.9</v>
      </c>
      <c r="G251" s="362">
        <v>10.23</v>
      </c>
      <c r="H251" s="363" t="s">
        <v>170</v>
      </c>
      <c r="I251" s="364">
        <v>50000</v>
      </c>
      <c r="J251" s="364">
        <v>50000</v>
      </c>
      <c r="K251" s="364">
        <v>48402.71</v>
      </c>
      <c r="L251" s="365">
        <v>1</v>
      </c>
    </row>
    <row r="252" spans="1:12" s="284" customFormat="1" ht="20.399999999999999" x14ac:dyDescent="0.45">
      <c r="A252" s="360" t="s">
        <v>203</v>
      </c>
      <c r="B252" s="361" t="s">
        <v>169</v>
      </c>
      <c r="C252" s="362">
        <v>95.258499999999998</v>
      </c>
      <c r="D252" s="362"/>
      <c r="E252" s="421" t="s">
        <v>229</v>
      </c>
      <c r="F252" s="362">
        <v>9.9</v>
      </c>
      <c r="G252" s="362">
        <v>10.143000000000001</v>
      </c>
      <c r="H252" s="363" t="s">
        <v>170</v>
      </c>
      <c r="I252" s="364">
        <v>3409</v>
      </c>
      <c r="J252" s="364">
        <v>3409</v>
      </c>
      <c r="K252" s="364">
        <v>3247.36</v>
      </c>
      <c r="L252" s="365">
        <v>1</v>
      </c>
    </row>
    <row r="253" spans="1:12" s="284" customFormat="1" ht="20.399999999999999" x14ac:dyDescent="0.45">
      <c r="A253" s="360" t="s">
        <v>203</v>
      </c>
      <c r="B253" s="361" t="s">
        <v>169</v>
      </c>
      <c r="C253" s="362">
        <v>93.375</v>
      </c>
      <c r="D253" s="362"/>
      <c r="E253" s="421" t="s">
        <v>414</v>
      </c>
      <c r="F253" s="362">
        <v>9.9</v>
      </c>
      <c r="G253" s="362">
        <v>10.036000000000001</v>
      </c>
      <c r="H253" s="363" t="s">
        <v>170</v>
      </c>
      <c r="I253" s="364">
        <v>42742</v>
      </c>
      <c r="J253" s="364">
        <v>42742</v>
      </c>
      <c r="K253" s="364">
        <v>39910.36</v>
      </c>
      <c r="L253" s="365">
        <v>1</v>
      </c>
    </row>
    <row r="254" spans="1:12" s="284" customFormat="1" ht="20.399999999999999" x14ac:dyDescent="0.45">
      <c r="A254" s="360" t="s">
        <v>203</v>
      </c>
      <c r="B254" s="361" t="s">
        <v>169</v>
      </c>
      <c r="C254" s="362">
        <v>95.2607</v>
      </c>
      <c r="D254" s="362"/>
      <c r="E254" s="421" t="s">
        <v>231</v>
      </c>
      <c r="F254" s="362">
        <v>9.9499999999999993</v>
      </c>
      <c r="G254" s="362">
        <v>10.197000000000001</v>
      </c>
      <c r="H254" s="363" t="s">
        <v>170</v>
      </c>
      <c r="I254" s="364">
        <v>200000</v>
      </c>
      <c r="J254" s="364">
        <v>200000</v>
      </c>
      <c r="K254" s="364">
        <v>190521.56</v>
      </c>
      <c r="L254" s="365">
        <v>2</v>
      </c>
    </row>
    <row r="255" spans="1:12" s="284" customFormat="1" ht="20.399999999999999" x14ac:dyDescent="0.45">
      <c r="A255" s="360" t="s">
        <v>203</v>
      </c>
      <c r="B255" s="361" t="s">
        <v>169</v>
      </c>
      <c r="C255" s="362">
        <v>94.761700000000005</v>
      </c>
      <c r="D255" s="362"/>
      <c r="E255" s="421" t="s">
        <v>232</v>
      </c>
      <c r="F255" s="362">
        <v>9.9499999999999993</v>
      </c>
      <c r="G255" s="362">
        <v>10.169</v>
      </c>
      <c r="H255" s="363" t="s">
        <v>170</v>
      </c>
      <c r="I255" s="364">
        <v>10533</v>
      </c>
      <c r="J255" s="364">
        <v>10533</v>
      </c>
      <c r="K255" s="364">
        <v>9981.26</v>
      </c>
      <c r="L255" s="365">
        <v>1</v>
      </c>
    </row>
    <row r="256" spans="1:12" s="284" customFormat="1" ht="20.399999999999999" x14ac:dyDescent="0.45">
      <c r="A256" s="360" t="s">
        <v>203</v>
      </c>
      <c r="B256" s="361" t="s">
        <v>169</v>
      </c>
      <c r="C256" s="362">
        <v>96.7804</v>
      </c>
      <c r="D256" s="362"/>
      <c r="E256" s="421" t="s">
        <v>190</v>
      </c>
      <c r="F256" s="362">
        <v>9.98</v>
      </c>
      <c r="G256" s="362">
        <v>10.315000000000001</v>
      </c>
      <c r="H256" s="363" t="s">
        <v>170</v>
      </c>
      <c r="I256" s="364">
        <v>55000</v>
      </c>
      <c r="J256" s="364">
        <v>55000</v>
      </c>
      <c r="K256" s="364">
        <v>53229.24</v>
      </c>
      <c r="L256" s="365">
        <v>1</v>
      </c>
    </row>
    <row r="257" spans="1:12" s="284" customFormat="1" ht="20.399999999999999" x14ac:dyDescent="0.45">
      <c r="A257" s="360" t="s">
        <v>415</v>
      </c>
      <c r="B257" s="361" t="s">
        <v>169</v>
      </c>
      <c r="C257" s="362">
        <v>98.1113</v>
      </c>
      <c r="D257" s="362"/>
      <c r="E257" s="421" t="s">
        <v>260</v>
      </c>
      <c r="F257" s="362">
        <v>11</v>
      </c>
      <c r="G257" s="362">
        <v>11.511000000000001</v>
      </c>
      <c r="H257" s="363" t="s">
        <v>170</v>
      </c>
      <c r="I257" s="364">
        <v>55214</v>
      </c>
      <c r="J257" s="364">
        <v>55214</v>
      </c>
      <c r="K257" s="364">
        <v>54171.199999999997</v>
      </c>
      <c r="L257" s="365">
        <v>1</v>
      </c>
    </row>
    <row r="258" spans="1:12" s="284" customFormat="1" ht="20.399999999999999" x14ac:dyDescent="0.45">
      <c r="A258" s="360" t="s">
        <v>415</v>
      </c>
      <c r="B258" s="361" t="s">
        <v>169</v>
      </c>
      <c r="C258" s="362">
        <v>94.829099999999997</v>
      </c>
      <c r="D258" s="362"/>
      <c r="E258" s="421" t="s">
        <v>237</v>
      </c>
      <c r="F258" s="362">
        <v>13</v>
      </c>
      <c r="G258" s="362">
        <v>13.492999999999999</v>
      </c>
      <c r="H258" s="363" t="s">
        <v>170</v>
      </c>
      <c r="I258" s="364">
        <v>105000</v>
      </c>
      <c r="J258" s="364">
        <v>105000</v>
      </c>
      <c r="K258" s="364">
        <v>99570.64</v>
      </c>
      <c r="L258" s="365">
        <v>2</v>
      </c>
    </row>
    <row r="259" spans="1:12" s="284" customFormat="1" ht="20.399999999999999" x14ac:dyDescent="0.45">
      <c r="A259" s="360" t="s">
        <v>235</v>
      </c>
      <c r="B259" s="361" t="s">
        <v>169</v>
      </c>
      <c r="C259" s="362">
        <v>98.473600000000005</v>
      </c>
      <c r="D259" s="362"/>
      <c r="E259" s="421" t="s">
        <v>416</v>
      </c>
      <c r="F259" s="362">
        <v>9</v>
      </c>
      <c r="G259" s="362">
        <v>9.3410000000000011</v>
      </c>
      <c r="H259" s="363" t="s">
        <v>170</v>
      </c>
      <c r="I259" s="364">
        <v>50000</v>
      </c>
      <c r="J259" s="364">
        <v>50000</v>
      </c>
      <c r="K259" s="364">
        <v>49236.83</v>
      </c>
      <c r="L259" s="365">
        <v>1</v>
      </c>
    </row>
    <row r="260" spans="1:12" s="284" customFormat="1" ht="20.399999999999999" x14ac:dyDescent="0.45">
      <c r="A260" s="360" t="s">
        <v>235</v>
      </c>
      <c r="B260" s="361" t="s">
        <v>169</v>
      </c>
      <c r="C260" s="362">
        <v>95.465299999999999</v>
      </c>
      <c r="D260" s="362"/>
      <c r="E260" s="421" t="s">
        <v>231</v>
      </c>
      <c r="F260" s="362">
        <v>9.5</v>
      </c>
      <c r="G260" s="362">
        <v>9.7249999999999996</v>
      </c>
      <c r="H260" s="363" t="s">
        <v>170</v>
      </c>
      <c r="I260" s="364">
        <v>8000</v>
      </c>
      <c r="J260" s="364">
        <v>8000</v>
      </c>
      <c r="K260" s="364">
        <v>7637.23</v>
      </c>
      <c r="L260" s="365">
        <v>1</v>
      </c>
    </row>
    <row r="261" spans="1:12" s="284" customFormat="1" ht="20.399999999999999" x14ac:dyDescent="0.45">
      <c r="A261" s="360" t="s">
        <v>205</v>
      </c>
      <c r="B261" s="361" t="s">
        <v>169</v>
      </c>
      <c r="C261" s="362">
        <v>98.929599999999994</v>
      </c>
      <c r="D261" s="362"/>
      <c r="E261" s="421" t="s">
        <v>259</v>
      </c>
      <c r="F261" s="362">
        <v>9.5</v>
      </c>
      <c r="G261" s="362">
        <v>9.9089999999999989</v>
      </c>
      <c r="H261" s="363" t="s">
        <v>170</v>
      </c>
      <c r="I261" s="364">
        <v>84183</v>
      </c>
      <c r="J261" s="364">
        <v>84183</v>
      </c>
      <c r="K261" s="364">
        <v>83281.94</v>
      </c>
      <c r="L261" s="365">
        <v>1</v>
      </c>
    </row>
    <row r="262" spans="1:12" s="284" customFormat="1" ht="20.399999999999999" x14ac:dyDescent="0.45">
      <c r="A262" s="360" t="s">
        <v>205</v>
      </c>
      <c r="B262" s="361" t="s">
        <v>169</v>
      </c>
      <c r="C262" s="362">
        <v>95.2834</v>
      </c>
      <c r="D262" s="362"/>
      <c r="E262" s="421" t="s">
        <v>231</v>
      </c>
      <c r="F262" s="362">
        <v>9.9</v>
      </c>
      <c r="G262" s="362">
        <v>10.145</v>
      </c>
      <c r="H262" s="363" t="s">
        <v>170</v>
      </c>
      <c r="I262" s="364">
        <v>6575</v>
      </c>
      <c r="J262" s="364">
        <v>6575</v>
      </c>
      <c r="K262" s="364">
        <v>6264.89</v>
      </c>
      <c r="L262" s="365">
        <v>1</v>
      </c>
    </row>
    <row r="263" spans="1:12" s="284" customFormat="1" ht="20.399999999999999" x14ac:dyDescent="0.45">
      <c r="A263" s="360" t="s">
        <v>205</v>
      </c>
      <c r="B263" s="361" t="s">
        <v>169</v>
      </c>
      <c r="C263" s="362">
        <v>98.717600000000004</v>
      </c>
      <c r="D263" s="362"/>
      <c r="E263" s="421" t="s">
        <v>417</v>
      </c>
      <c r="F263" s="362">
        <v>9.9499999999999993</v>
      </c>
      <c r="G263" s="362">
        <v>10.391</v>
      </c>
      <c r="H263" s="363" t="s">
        <v>170</v>
      </c>
      <c r="I263" s="364">
        <v>320000</v>
      </c>
      <c r="J263" s="364">
        <v>320000</v>
      </c>
      <c r="K263" s="364">
        <v>315896.42</v>
      </c>
      <c r="L263" s="365">
        <v>2</v>
      </c>
    </row>
    <row r="264" spans="1:12" s="284" customFormat="1" ht="20.399999999999999" x14ac:dyDescent="0.45">
      <c r="A264" s="360" t="s">
        <v>205</v>
      </c>
      <c r="B264" s="361" t="s">
        <v>169</v>
      </c>
      <c r="C264" s="362">
        <v>98.583100000000002</v>
      </c>
      <c r="D264" s="362"/>
      <c r="E264" s="421" t="s">
        <v>418</v>
      </c>
      <c r="F264" s="362">
        <v>9.9499999999999993</v>
      </c>
      <c r="G264" s="362">
        <v>10.383000000000001</v>
      </c>
      <c r="H264" s="363" t="s">
        <v>170</v>
      </c>
      <c r="I264" s="364">
        <v>105000</v>
      </c>
      <c r="J264" s="364">
        <v>105000</v>
      </c>
      <c r="K264" s="364">
        <v>103512.3</v>
      </c>
      <c r="L264" s="365">
        <v>1</v>
      </c>
    </row>
    <row r="265" spans="1:12" s="284" customFormat="1" ht="20.399999999999999" x14ac:dyDescent="0.45">
      <c r="A265" s="360" t="s">
        <v>205</v>
      </c>
      <c r="B265" s="361" t="s">
        <v>169</v>
      </c>
      <c r="C265" s="362">
        <v>97.572800000000001</v>
      </c>
      <c r="D265" s="362"/>
      <c r="E265" s="421" t="s">
        <v>188</v>
      </c>
      <c r="F265" s="362">
        <v>9.9499999999999993</v>
      </c>
      <c r="G265" s="362">
        <v>10.327</v>
      </c>
      <c r="H265" s="363" t="s">
        <v>170</v>
      </c>
      <c r="I265" s="364">
        <v>500000</v>
      </c>
      <c r="J265" s="364">
        <v>500000</v>
      </c>
      <c r="K265" s="364">
        <v>487864.37</v>
      </c>
      <c r="L265" s="365">
        <v>3</v>
      </c>
    </row>
    <row r="266" spans="1:12" s="284" customFormat="1" ht="20.399999999999999" x14ac:dyDescent="0.45">
      <c r="A266" s="360" t="s">
        <v>205</v>
      </c>
      <c r="B266" s="361" t="s">
        <v>169</v>
      </c>
      <c r="C266" s="362">
        <v>97.539299999999997</v>
      </c>
      <c r="D266" s="362"/>
      <c r="E266" s="421" t="s">
        <v>189</v>
      </c>
      <c r="F266" s="362">
        <v>9.98</v>
      </c>
      <c r="G266" s="362">
        <v>10.358000000000001</v>
      </c>
      <c r="H266" s="363" t="s">
        <v>170</v>
      </c>
      <c r="I266" s="364">
        <v>100000</v>
      </c>
      <c r="J266" s="364">
        <v>100000</v>
      </c>
      <c r="K266" s="364">
        <v>97539.35</v>
      </c>
      <c r="L266" s="365">
        <v>1</v>
      </c>
    </row>
    <row r="267" spans="1:12" s="284" customFormat="1" ht="20.399999999999999" x14ac:dyDescent="0.45">
      <c r="A267" s="360" t="s">
        <v>205</v>
      </c>
      <c r="B267" s="361" t="s">
        <v>169</v>
      </c>
      <c r="C267" s="362">
        <v>96.7804</v>
      </c>
      <c r="D267" s="362"/>
      <c r="E267" s="421" t="s">
        <v>190</v>
      </c>
      <c r="F267" s="362">
        <v>9.98</v>
      </c>
      <c r="G267" s="362">
        <v>10.315000000000001</v>
      </c>
      <c r="H267" s="363" t="s">
        <v>170</v>
      </c>
      <c r="I267" s="364">
        <v>55000</v>
      </c>
      <c r="J267" s="364">
        <v>55000</v>
      </c>
      <c r="K267" s="364">
        <v>53229.24</v>
      </c>
      <c r="L267" s="365">
        <v>1</v>
      </c>
    </row>
    <row r="268" spans="1:12" s="284" customFormat="1" ht="20.399999999999999" x14ac:dyDescent="0.45">
      <c r="A268" s="360" t="s">
        <v>207</v>
      </c>
      <c r="B268" s="361" t="s">
        <v>169</v>
      </c>
      <c r="C268" s="362">
        <v>97.799499999999995</v>
      </c>
      <c r="D268" s="362"/>
      <c r="E268" s="421" t="s">
        <v>188</v>
      </c>
      <c r="F268" s="362">
        <v>9</v>
      </c>
      <c r="G268" s="362">
        <v>9.3079999999999998</v>
      </c>
      <c r="H268" s="363" t="s">
        <v>170</v>
      </c>
      <c r="I268" s="364">
        <v>15000</v>
      </c>
      <c r="J268" s="364">
        <v>15000</v>
      </c>
      <c r="K268" s="364">
        <v>14669.93</v>
      </c>
      <c r="L268" s="365">
        <v>1</v>
      </c>
    </row>
    <row r="269" spans="1:12" s="284" customFormat="1" ht="20.399999999999999" x14ac:dyDescent="0.45">
      <c r="A269" s="360" t="s">
        <v>207</v>
      </c>
      <c r="B269" s="361" t="s">
        <v>169</v>
      </c>
      <c r="C269" s="362">
        <v>97.739699999999999</v>
      </c>
      <c r="D269" s="362"/>
      <c r="E269" s="421" t="s">
        <v>188</v>
      </c>
      <c r="F269" s="362">
        <v>9.25</v>
      </c>
      <c r="G269" s="362">
        <v>9.5749999999999993</v>
      </c>
      <c r="H269" s="363" t="s">
        <v>170</v>
      </c>
      <c r="I269" s="364">
        <v>5000</v>
      </c>
      <c r="J269" s="364">
        <v>5000</v>
      </c>
      <c r="K269" s="364">
        <v>4886.99</v>
      </c>
      <c r="L269" s="365">
        <v>1</v>
      </c>
    </row>
    <row r="270" spans="1:12" s="284" customFormat="1" ht="20.399999999999999" x14ac:dyDescent="0.45">
      <c r="A270" s="360" t="s">
        <v>207</v>
      </c>
      <c r="B270" s="361" t="s">
        <v>169</v>
      </c>
      <c r="C270" s="362">
        <v>96.314599999999999</v>
      </c>
      <c r="D270" s="362"/>
      <c r="E270" s="421" t="s">
        <v>419</v>
      </c>
      <c r="F270" s="362">
        <v>9.5</v>
      </c>
      <c r="G270" s="362">
        <v>9.7710000000000008</v>
      </c>
      <c r="H270" s="363" t="s">
        <v>170</v>
      </c>
      <c r="I270" s="364">
        <v>546035</v>
      </c>
      <c r="J270" s="364">
        <v>546035</v>
      </c>
      <c r="K270" s="364">
        <v>525911.57999999996</v>
      </c>
      <c r="L270" s="365">
        <v>2</v>
      </c>
    </row>
    <row r="271" spans="1:12" s="284" customFormat="1" ht="20.399999999999999" x14ac:dyDescent="0.45">
      <c r="A271" s="360" t="s">
        <v>207</v>
      </c>
      <c r="B271" s="361" t="s">
        <v>169</v>
      </c>
      <c r="C271" s="362">
        <v>95.326899999999995</v>
      </c>
      <c r="D271" s="362"/>
      <c r="E271" s="421" t="s">
        <v>229</v>
      </c>
      <c r="F271" s="362">
        <v>9.75</v>
      </c>
      <c r="G271" s="362">
        <v>9.9860000000000007</v>
      </c>
      <c r="H271" s="363" t="s">
        <v>170</v>
      </c>
      <c r="I271" s="364">
        <v>164161</v>
      </c>
      <c r="J271" s="364">
        <v>164161</v>
      </c>
      <c r="K271" s="364">
        <v>156489.74</v>
      </c>
      <c r="L271" s="365">
        <v>2</v>
      </c>
    </row>
    <row r="272" spans="1:12" s="284" customFormat="1" ht="20.399999999999999" x14ac:dyDescent="0.45">
      <c r="A272" s="360" t="s">
        <v>207</v>
      </c>
      <c r="B272" s="361" t="s">
        <v>169</v>
      </c>
      <c r="C272" s="362">
        <v>93.162199999999999</v>
      </c>
      <c r="D272" s="362"/>
      <c r="E272" s="421" t="s">
        <v>420</v>
      </c>
      <c r="F272" s="362">
        <v>9.75</v>
      </c>
      <c r="G272" s="362">
        <v>9.8650000000000002</v>
      </c>
      <c r="H272" s="363" t="s">
        <v>170</v>
      </c>
      <c r="I272" s="364">
        <v>69619</v>
      </c>
      <c r="J272" s="364">
        <v>69619</v>
      </c>
      <c r="K272" s="364">
        <v>64858.65</v>
      </c>
      <c r="L272" s="365">
        <v>1</v>
      </c>
    </row>
    <row r="273" spans="1:12" s="284" customFormat="1" ht="20.399999999999999" x14ac:dyDescent="0.45">
      <c r="A273" s="360" t="s">
        <v>241</v>
      </c>
      <c r="B273" s="361" t="s">
        <v>169</v>
      </c>
      <c r="C273" s="362">
        <v>95.579400000000007</v>
      </c>
      <c r="D273" s="362"/>
      <c r="E273" s="421" t="s">
        <v>231</v>
      </c>
      <c r="F273" s="362">
        <v>9.25</v>
      </c>
      <c r="G273" s="362">
        <v>9.463000000000001</v>
      </c>
      <c r="H273" s="363" t="s">
        <v>170</v>
      </c>
      <c r="I273" s="364">
        <v>450000</v>
      </c>
      <c r="J273" s="364">
        <v>450000</v>
      </c>
      <c r="K273" s="364">
        <v>430107.53</v>
      </c>
      <c r="L273" s="365">
        <v>1</v>
      </c>
    </row>
    <row r="274" spans="1:12" s="284" customFormat="1" ht="20.399999999999999" x14ac:dyDescent="0.45">
      <c r="A274" s="360" t="s">
        <v>209</v>
      </c>
      <c r="B274" s="361" t="s">
        <v>169</v>
      </c>
      <c r="C274" s="362">
        <v>92.861199999999997</v>
      </c>
      <c r="D274" s="362"/>
      <c r="E274" s="421" t="s">
        <v>283</v>
      </c>
      <c r="F274" s="362">
        <v>10.25</v>
      </c>
      <c r="G274" s="362">
        <v>10.379</v>
      </c>
      <c r="H274" s="363" t="s">
        <v>170</v>
      </c>
      <c r="I274" s="364">
        <v>7700</v>
      </c>
      <c r="J274" s="364">
        <v>7700</v>
      </c>
      <c r="K274" s="364">
        <v>7150.32</v>
      </c>
      <c r="L274" s="365">
        <v>1</v>
      </c>
    </row>
    <row r="275" spans="1:12" s="284" customFormat="1" ht="20.399999999999999" x14ac:dyDescent="0.45">
      <c r="A275" s="360" t="s">
        <v>209</v>
      </c>
      <c r="B275" s="361" t="s">
        <v>169</v>
      </c>
      <c r="C275" s="362">
        <v>90.569400000000002</v>
      </c>
      <c r="D275" s="362"/>
      <c r="E275" s="421" t="s">
        <v>191</v>
      </c>
      <c r="F275" s="362">
        <v>10.5</v>
      </c>
      <c r="G275" s="362">
        <v>10.504</v>
      </c>
      <c r="H275" s="363" t="s">
        <v>170</v>
      </c>
      <c r="I275" s="364">
        <v>8760</v>
      </c>
      <c r="J275" s="364">
        <v>8760</v>
      </c>
      <c r="K275" s="364">
        <v>7933.88</v>
      </c>
      <c r="L275" s="365">
        <v>1</v>
      </c>
    </row>
    <row r="276" spans="1:12" s="284" customFormat="1" ht="20.399999999999999" x14ac:dyDescent="0.45">
      <c r="A276" s="360" t="s">
        <v>215</v>
      </c>
      <c r="B276" s="361" t="s">
        <v>169</v>
      </c>
      <c r="C276" s="362">
        <v>96.133300000000006</v>
      </c>
      <c r="D276" s="362"/>
      <c r="E276" s="421" t="s">
        <v>229</v>
      </c>
      <c r="F276" s="362">
        <v>8</v>
      </c>
      <c r="G276" s="362">
        <v>8.1589999999999989</v>
      </c>
      <c r="H276" s="363" t="s">
        <v>170</v>
      </c>
      <c r="I276" s="364">
        <v>200000</v>
      </c>
      <c r="J276" s="364">
        <v>200000</v>
      </c>
      <c r="K276" s="364">
        <v>192266.61</v>
      </c>
      <c r="L276" s="365">
        <v>1</v>
      </c>
    </row>
    <row r="277" spans="1:12" s="284" customFormat="1" ht="20.399999999999999" x14ac:dyDescent="0.45">
      <c r="A277" s="360" t="s">
        <v>243</v>
      </c>
      <c r="B277" s="361" t="s">
        <v>169</v>
      </c>
      <c r="C277" s="362">
        <v>98.039199999999994</v>
      </c>
      <c r="D277" s="362"/>
      <c r="E277" s="421" t="s">
        <v>188</v>
      </c>
      <c r="F277" s="362">
        <v>8</v>
      </c>
      <c r="G277" s="362">
        <v>8.2430000000000003</v>
      </c>
      <c r="H277" s="363" t="s">
        <v>170</v>
      </c>
      <c r="I277" s="364">
        <v>50000</v>
      </c>
      <c r="J277" s="364">
        <v>50000</v>
      </c>
      <c r="K277" s="364">
        <v>49019.61</v>
      </c>
      <c r="L277" s="365">
        <v>1</v>
      </c>
    </row>
    <row r="278" spans="1:12" s="284" customFormat="1" ht="20.399999999999999" x14ac:dyDescent="0.45">
      <c r="A278" s="360" t="s">
        <v>243</v>
      </c>
      <c r="B278" s="361" t="s">
        <v>169</v>
      </c>
      <c r="C278" s="362">
        <v>95.786000000000001</v>
      </c>
      <c r="D278" s="362"/>
      <c r="E278" s="421" t="s">
        <v>229</v>
      </c>
      <c r="F278" s="362">
        <v>8.75</v>
      </c>
      <c r="G278" s="362">
        <v>8.94</v>
      </c>
      <c r="H278" s="363" t="s">
        <v>170</v>
      </c>
      <c r="I278" s="364">
        <v>7288</v>
      </c>
      <c r="J278" s="364">
        <v>7288</v>
      </c>
      <c r="K278" s="364">
        <v>6980.89</v>
      </c>
      <c r="L278" s="365">
        <v>1</v>
      </c>
    </row>
    <row r="279" spans="1:12" s="284" customFormat="1" ht="20.399999999999999" x14ac:dyDescent="0.45">
      <c r="A279" s="360" t="s">
        <v>243</v>
      </c>
      <c r="B279" s="361" t="s">
        <v>169</v>
      </c>
      <c r="C279" s="362">
        <v>93.6768</v>
      </c>
      <c r="D279" s="362"/>
      <c r="E279" s="421" t="s">
        <v>283</v>
      </c>
      <c r="F279" s="362">
        <v>9</v>
      </c>
      <c r="G279" s="362">
        <v>9.0990000000000002</v>
      </c>
      <c r="H279" s="363" t="s">
        <v>170</v>
      </c>
      <c r="I279" s="364">
        <v>17000</v>
      </c>
      <c r="J279" s="364">
        <v>17000</v>
      </c>
      <c r="K279" s="364">
        <v>15925.06</v>
      </c>
      <c r="L279" s="365">
        <v>1</v>
      </c>
    </row>
    <row r="280" spans="1:12" s="284" customFormat="1" ht="20.399999999999999" x14ac:dyDescent="0.45">
      <c r="A280" s="360" t="s">
        <v>217</v>
      </c>
      <c r="B280" s="361" t="s">
        <v>169</v>
      </c>
      <c r="C280" s="362">
        <v>95.744600000000005</v>
      </c>
      <c r="D280" s="362"/>
      <c r="E280" s="421" t="s">
        <v>421</v>
      </c>
      <c r="F280" s="362">
        <v>10</v>
      </c>
      <c r="G280" s="362">
        <v>10.278</v>
      </c>
      <c r="H280" s="363" t="s">
        <v>170</v>
      </c>
      <c r="I280" s="364">
        <v>109600</v>
      </c>
      <c r="J280" s="364">
        <v>109600</v>
      </c>
      <c r="K280" s="364">
        <v>104936.17</v>
      </c>
      <c r="L280" s="365">
        <v>2</v>
      </c>
    </row>
    <row r="281" spans="1:12" s="284" customFormat="1" ht="20.399999999999999" x14ac:dyDescent="0.45">
      <c r="A281" s="360" t="s">
        <v>422</v>
      </c>
      <c r="B281" s="361" t="s">
        <v>169</v>
      </c>
      <c r="C281" s="362">
        <v>98.956800000000001</v>
      </c>
      <c r="D281" s="362"/>
      <c r="E281" s="421" t="s">
        <v>423</v>
      </c>
      <c r="F281" s="362">
        <v>8.25</v>
      </c>
      <c r="G281" s="362">
        <v>8.5519999999999996</v>
      </c>
      <c r="H281" s="363" t="s">
        <v>170</v>
      </c>
      <c r="I281" s="364">
        <v>150000</v>
      </c>
      <c r="J281" s="364">
        <v>150000</v>
      </c>
      <c r="K281" s="364">
        <v>148435.25</v>
      </c>
      <c r="L281" s="365">
        <v>1</v>
      </c>
    </row>
    <row r="282" spans="1:12" s="284" customFormat="1" ht="20.399999999999999" x14ac:dyDescent="0.45">
      <c r="A282" s="360" t="s">
        <v>422</v>
      </c>
      <c r="B282" s="361" t="s">
        <v>169</v>
      </c>
      <c r="C282" s="362">
        <v>90.954999999999998</v>
      </c>
      <c r="D282" s="362"/>
      <c r="E282" s="421" t="s">
        <v>233</v>
      </c>
      <c r="F282" s="362">
        <v>10</v>
      </c>
      <c r="G282" s="362">
        <v>10.001999999999999</v>
      </c>
      <c r="H282" s="363" t="s">
        <v>170</v>
      </c>
      <c r="I282" s="364">
        <v>5000</v>
      </c>
      <c r="J282" s="364">
        <v>5000</v>
      </c>
      <c r="K282" s="364">
        <v>4547.75</v>
      </c>
      <c r="L282" s="365">
        <v>1</v>
      </c>
    </row>
    <row r="283" spans="1:12" s="284" customFormat="1" ht="20.399999999999999" x14ac:dyDescent="0.45">
      <c r="A283" s="360" t="s">
        <v>219</v>
      </c>
      <c r="B283" s="361" t="s">
        <v>169</v>
      </c>
      <c r="C283" s="362">
        <v>95.258499999999998</v>
      </c>
      <c r="D283" s="362"/>
      <c r="E283" s="421" t="s">
        <v>229</v>
      </c>
      <c r="F283" s="362">
        <v>9.9</v>
      </c>
      <c r="G283" s="362">
        <v>10.143000000000001</v>
      </c>
      <c r="H283" s="363" t="s">
        <v>170</v>
      </c>
      <c r="I283" s="364">
        <v>4922</v>
      </c>
      <c r="J283" s="364">
        <v>4922</v>
      </c>
      <c r="K283" s="364">
        <v>4688.62</v>
      </c>
      <c r="L283" s="365">
        <v>1</v>
      </c>
    </row>
    <row r="284" spans="1:12" s="284" customFormat="1" ht="20.399999999999999" x14ac:dyDescent="0.45">
      <c r="A284" s="360" t="s">
        <v>219</v>
      </c>
      <c r="B284" s="361" t="s">
        <v>169</v>
      </c>
      <c r="C284" s="362">
        <v>95.133899999999997</v>
      </c>
      <c r="D284" s="362"/>
      <c r="E284" s="421" t="s">
        <v>424</v>
      </c>
      <c r="F284" s="362">
        <v>9.9</v>
      </c>
      <c r="G284" s="362">
        <v>10.136000000000001</v>
      </c>
      <c r="H284" s="363" t="s">
        <v>170</v>
      </c>
      <c r="I284" s="364">
        <v>6293</v>
      </c>
      <c r="J284" s="364">
        <v>6293</v>
      </c>
      <c r="K284" s="364">
        <v>5986.78</v>
      </c>
      <c r="L284" s="365">
        <v>1</v>
      </c>
    </row>
    <row r="285" spans="1:12" s="284" customFormat="1" ht="20.399999999999999" x14ac:dyDescent="0.45">
      <c r="A285" s="360" t="s">
        <v>219</v>
      </c>
      <c r="B285" s="361" t="s">
        <v>169</v>
      </c>
      <c r="C285" s="362">
        <v>98.744500000000002</v>
      </c>
      <c r="D285" s="362"/>
      <c r="E285" s="421" t="s">
        <v>423</v>
      </c>
      <c r="F285" s="362">
        <v>9.9499999999999993</v>
      </c>
      <c r="G285" s="362">
        <v>10.391999999999999</v>
      </c>
      <c r="H285" s="363" t="s">
        <v>170</v>
      </c>
      <c r="I285" s="364">
        <v>150000</v>
      </c>
      <c r="J285" s="364">
        <v>150000</v>
      </c>
      <c r="K285" s="364">
        <v>148116.85999999999</v>
      </c>
      <c r="L285" s="365">
        <v>1</v>
      </c>
    </row>
    <row r="286" spans="1:12" s="284" customFormat="1" ht="20.399999999999999" x14ac:dyDescent="0.45">
      <c r="A286" s="360" t="s">
        <v>219</v>
      </c>
      <c r="B286" s="361" t="s">
        <v>169</v>
      </c>
      <c r="C286" s="362">
        <v>98.556200000000004</v>
      </c>
      <c r="D286" s="362"/>
      <c r="E286" s="421" t="s">
        <v>425</v>
      </c>
      <c r="F286" s="362">
        <v>9.9499999999999993</v>
      </c>
      <c r="G286" s="362">
        <v>10.382</v>
      </c>
      <c r="H286" s="363" t="s">
        <v>170</v>
      </c>
      <c r="I286" s="364">
        <v>223500</v>
      </c>
      <c r="J286" s="364">
        <v>223500</v>
      </c>
      <c r="K286" s="364">
        <v>220273.3</v>
      </c>
      <c r="L286" s="365">
        <v>1</v>
      </c>
    </row>
    <row r="287" spans="1:12" s="284" customFormat="1" ht="20.399999999999999" x14ac:dyDescent="0.45">
      <c r="A287" s="360" t="s">
        <v>219</v>
      </c>
      <c r="B287" s="361" t="s">
        <v>169</v>
      </c>
      <c r="C287" s="362">
        <v>98.529399999999995</v>
      </c>
      <c r="D287" s="362"/>
      <c r="E287" s="421" t="s">
        <v>426</v>
      </c>
      <c r="F287" s="362">
        <v>9.9499999999999993</v>
      </c>
      <c r="G287" s="362">
        <v>10.38</v>
      </c>
      <c r="H287" s="363" t="s">
        <v>170</v>
      </c>
      <c r="I287" s="364">
        <v>200000</v>
      </c>
      <c r="J287" s="364">
        <v>200000</v>
      </c>
      <c r="K287" s="364">
        <v>197058.9</v>
      </c>
      <c r="L287" s="365">
        <v>1</v>
      </c>
    </row>
    <row r="288" spans="1:12" s="284" customFormat="1" ht="20.399999999999999" x14ac:dyDescent="0.45">
      <c r="A288" s="360" t="s">
        <v>219</v>
      </c>
      <c r="B288" s="361" t="s">
        <v>169</v>
      </c>
      <c r="C288" s="362">
        <v>98.368700000000004</v>
      </c>
      <c r="D288" s="362"/>
      <c r="E288" s="421" t="s">
        <v>427</v>
      </c>
      <c r="F288" s="362">
        <v>9.9499999999999993</v>
      </c>
      <c r="G288" s="362">
        <v>10.371</v>
      </c>
      <c r="H288" s="363" t="s">
        <v>170</v>
      </c>
      <c r="I288" s="364">
        <v>240000</v>
      </c>
      <c r="J288" s="364">
        <v>240000</v>
      </c>
      <c r="K288" s="364">
        <v>236084.92</v>
      </c>
      <c r="L288" s="365">
        <v>1</v>
      </c>
    </row>
    <row r="289" spans="1:12" s="284" customFormat="1" ht="20.399999999999999" x14ac:dyDescent="0.45">
      <c r="A289" s="360" t="s">
        <v>219</v>
      </c>
      <c r="B289" s="361" t="s">
        <v>169</v>
      </c>
      <c r="C289" s="362">
        <v>98.315200000000004</v>
      </c>
      <c r="D289" s="362"/>
      <c r="E289" s="421" t="s">
        <v>416</v>
      </c>
      <c r="F289" s="362">
        <v>9.9499999999999993</v>
      </c>
      <c r="G289" s="362">
        <v>10.367999999999999</v>
      </c>
      <c r="H289" s="363" t="s">
        <v>170</v>
      </c>
      <c r="I289" s="364">
        <v>172500</v>
      </c>
      <c r="J289" s="364">
        <v>172500</v>
      </c>
      <c r="K289" s="364">
        <v>169593.82</v>
      </c>
      <c r="L289" s="365">
        <v>2</v>
      </c>
    </row>
    <row r="290" spans="1:12" s="284" customFormat="1" ht="20.399999999999999" x14ac:dyDescent="0.45">
      <c r="A290" s="360" t="s">
        <v>219</v>
      </c>
      <c r="B290" s="361" t="s">
        <v>169</v>
      </c>
      <c r="C290" s="362">
        <v>98.128600000000006</v>
      </c>
      <c r="D290" s="362"/>
      <c r="E290" s="421" t="s">
        <v>279</v>
      </c>
      <c r="F290" s="362">
        <v>9.9499999999999993</v>
      </c>
      <c r="G290" s="362">
        <v>10.358000000000001</v>
      </c>
      <c r="H290" s="363" t="s">
        <v>170</v>
      </c>
      <c r="I290" s="364">
        <v>165250</v>
      </c>
      <c r="J290" s="364">
        <v>165250</v>
      </c>
      <c r="K290" s="364">
        <v>162157.51999999999</v>
      </c>
      <c r="L290" s="365">
        <v>2</v>
      </c>
    </row>
    <row r="291" spans="1:12" s="284" customFormat="1" ht="20.399999999999999" x14ac:dyDescent="0.45">
      <c r="A291" s="360" t="s">
        <v>219</v>
      </c>
      <c r="B291" s="361" t="s">
        <v>169</v>
      </c>
      <c r="C291" s="362">
        <v>97.995699999999999</v>
      </c>
      <c r="D291" s="362"/>
      <c r="E291" s="421" t="s">
        <v>278</v>
      </c>
      <c r="F291" s="362">
        <v>9.9499999999999993</v>
      </c>
      <c r="G291" s="362">
        <v>10.351000000000001</v>
      </c>
      <c r="H291" s="363" t="s">
        <v>170</v>
      </c>
      <c r="I291" s="364">
        <v>337000</v>
      </c>
      <c r="J291" s="364">
        <v>337000</v>
      </c>
      <c r="K291" s="364">
        <v>330245.56</v>
      </c>
      <c r="L291" s="365">
        <v>2</v>
      </c>
    </row>
    <row r="292" spans="1:12" s="284" customFormat="1" ht="20.399999999999999" x14ac:dyDescent="0.45">
      <c r="A292" s="360" t="s">
        <v>219</v>
      </c>
      <c r="B292" s="361" t="s">
        <v>169</v>
      </c>
      <c r="C292" s="362">
        <v>97.572800000000001</v>
      </c>
      <c r="D292" s="362"/>
      <c r="E292" s="421" t="s">
        <v>188</v>
      </c>
      <c r="F292" s="362">
        <v>9.9499999999999993</v>
      </c>
      <c r="G292" s="362">
        <v>10.327</v>
      </c>
      <c r="H292" s="363" t="s">
        <v>170</v>
      </c>
      <c r="I292" s="364">
        <v>1265000</v>
      </c>
      <c r="J292" s="364">
        <v>1265000</v>
      </c>
      <c r="K292" s="364">
        <v>1234296.8600000001</v>
      </c>
      <c r="L292" s="365">
        <v>4</v>
      </c>
    </row>
    <row r="293" spans="1:12" s="284" customFormat="1" ht="20.399999999999999" x14ac:dyDescent="0.45">
      <c r="A293" s="360" t="s">
        <v>219</v>
      </c>
      <c r="B293" s="361" t="s">
        <v>169</v>
      </c>
      <c r="C293" s="362">
        <v>97.493899999999996</v>
      </c>
      <c r="D293" s="362"/>
      <c r="E293" s="421" t="s">
        <v>428</v>
      </c>
      <c r="F293" s="362">
        <v>9.9499999999999993</v>
      </c>
      <c r="G293" s="362">
        <v>10.323</v>
      </c>
      <c r="H293" s="363" t="s">
        <v>170</v>
      </c>
      <c r="I293" s="364">
        <v>41000</v>
      </c>
      <c r="J293" s="364">
        <v>41000</v>
      </c>
      <c r="K293" s="364">
        <v>39972.54</v>
      </c>
      <c r="L293" s="365">
        <v>1</v>
      </c>
    </row>
    <row r="294" spans="1:12" s="284" customFormat="1" ht="20.399999999999999" x14ac:dyDescent="0.45">
      <c r="A294" s="360" t="s">
        <v>219</v>
      </c>
      <c r="B294" s="361" t="s">
        <v>169</v>
      </c>
      <c r="C294" s="362">
        <v>96.019199999999998</v>
      </c>
      <c r="D294" s="362"/>
      <c r="E294" s="421" t="s">
        <v>244</v>
      </c>
      <c r="F294" s="362">
        <v>9.9499999999999993</v>
      </c>
      <c r="G294" s="362">
        <v>10.24</v>
      </c>
      <c r="H294" s="363" t="s">
        <v>170</v>
      </c>
      <c r="I294" s="364">
        <v>1000000</v>
      </c>
      <c r="J294" s="364">
        <v>1000000</v>
      </c>
      <c r="K294" s="364">
        <v>960192.04</v>
      </c>
      <c r="L294" s="365">
        <v>1</v>
      </c>
    </row>
    <row r="295" spans="1:12" s="284" customFormat="1" ht="20.399999999999999" x14ac:dyDescent="0.45">
      <c r="A295" s="360" t="s">
        <v>219</v>
      </c>
      <c r="B295" s="361" t="s">
        <v>169</v>
      </c>
      <c r="C295" s="362">
        <v>95.210599999999999</v>
      </c>
      <c r="D295" s="362"/>
      <c r="E295" s="421" t="s">
        <v>236</v>
      </c>
      <c r="F295" s="362">
        <v>9.9499999999999993</v>
      </c>
      <c r="G295" s="362">
        <v>10.194000000000001</v>
      </c>
      <c r="H295" s="363" t="s">
        <v>170</v>
      </c>
      <c r="I295" s="364">
        <v>1000000</v>
      </c>
      <c r="J295" s="364">
        <v>1000000</v>
      </c>
      <c r="K295" s="364">
        <v>952106.4</v>
      </c>
      <c r="L295" s="365">
        <v>1</v>
      </c>
    </row>
    <row r="296" spans="1:12" s="284" customFormat="1" ht="20.399999999999999" x14ac:dyDescent="0.45">
      <c r="A296" s="360" t="s">
        <v>219</v>
      </c>
      <c r="B296" s="361" t="s">
        <v>169</v>
      </c>
      <c r="C296" s="362">
        <v>94.514200000000002</v>
      </c>
      <c r="D296" s="362"/>
      <c r="E296" s="421" t="s">
        <v>239</v>
      </c>
      <c r="F296" s="362">
        <v>9.9499999999999993</v>
      </c>
      <c r="G296" s="362">
        <v>10.154999999999999</v>
      </c>
      <c r="H296" s="363" t="s">
        <v>170</v>
      </c>
      <c r="I296" s="364">
        <v>1000000</v>
      </c>
      <c r="J296" s="364">
        <v>1000000</v>
      </c>
      <c r="K296" s="364">
        <v>945142.36</v>
      </c>
      <c r="L296" s="365">
        <v>1</v>
      </c>
    </row>
    <row r="297" spans="1:12" s="284" customFormat="1" ht="20.399999999999999" x14ac:dyDescent="0.45">
      <c r="A297" s="360" t="s">
        <v>219</v>
      </c>
      <c r="B297" s="361" t="s">
        <v>169</v>
      </c>
      <c r="C297" s="362">
        <v>93.779300000000006</v>
      </c>
      <c r="D297" s="362"/>
      <c r="E297" s="421" t="s">
        <v>429</v>
      </c>
      <c r="F297" s="362">
        <v>9.9499999999999993</v>
      </c>
      <c r="G297" s="362">
        <v>10.113</v>
      </c>
      <c r="H297" s="363" t="s">
        <v>170</v>
      </c>
      <c r="I297" s="364">
        <v>800000</v>
      </c>
      <c r="J297" s="364">
        <v>800000</v>
      </c>
      <c r="K297" s="364">
        <v>750234.45</v>
      </c>
      <c r="L297" s="365">
        <v>1</v>
      </c>
    </row>
    <row r="298" spans="1:12" s="284" customFormat="1" ht="20.399999999999999" x14ac:dyDescent="0.45">
      <c r="A298" s="360" t="s">
        <v>219</v>
      </c>
      <c r="B298" s="361" t="s">
        <v>169</v>
      </c>
      <c r="C298" s="362">
        <v>90.996099999999998</v>
      </c>
      <c r="D298" s="362"/>
      <c r="E298" s="421" t="s">
        <v>233</v>
      </c>
      <c r="F298" s="362">
        <v>9.9499999999999993</v>
      </c>
      <c r="G298" s="362">
        <v>9.952</v>
      </c>
      <c r="H298" s="363" t="s">
        <v>170</v>
      </c>
      <c r="I298" s="364">
        <v>10000</v>
      </c>
      <c r="J298" s="364">
        <v>10000</v>
      </c>
      <c r="K298" s="364">
        <v>9099.6200000000008</v>
      </c>
      <c r="L298" s="365">
        <v>1</v>
      </c>
    </row>
    <row r="299" spans="1:12" s="284" customFormat="1" ht="20.399999999999999" x14ac:dyDescent="0.45">
      <c r="A299" s="360" t="s">
        <v>219</v>
      </c>
      <c r="B299" s="361" t="s">
        <v>169</v>
      </c>
      <c r="C299" s="362">
        <v>96.985600000000005</v>
      </c>
      <c r="D299" s="362"/>
      <c r="E299" s="421" t="s">
        <v>430</v>
      </c>
      <c r="F299" s="362">
        <v>10.08</v>
      </c>
      <c r="G299" s="362">
        <v>10.435</v>
      </c>
      <c r="H299" s="363" t="s">
        <v>170</v>
      </c>
      <c r="I299" s="364">
        <v>347827</v>
      </c>
      <c r="J299" s="364">
        <v>347827</v>
      </c>
      <c r="K299" s="364">
        <v>337342.4</v>
      </c>
      <c r="L299" s="365">
        <v>1</v>
      </c>
    </row>
    <row r="300" spans="1:12" s="284" customFormat="1" ht="20.399999999999999" x14ac:dyDescent="0.45">
      <c r="A300" s="360" t="s">
        <v>246</v>
      </c>
      <c r="B300" s="361" t="s">
        <v>169</v>
      </c>
      <c r="C300" s="362">
        <v>98.332400000000007</v>
      </c>
      <c r="D300" s="362"/>
      <c r="E300" s="421" t="s">
        <v>431</v>
      </c>
      <c r="F300" s="362">
        <v>9.25</v>
      </c>
      <c r="G300" s="362">
        <v>9.6059999999999999</v>
      </c>
      <c r="H300" s="363" t="s">
        <v>170</v>
      </c>
      <c r="I300" s="364">
        <v>30000</v>
      </c>
      <c r="J300" s="364">
        <v>30000</v>
      </c>
      <c r="K300" s="364">
        <v>29499.73</v>
      </c>
      <c r="L300" s="365">
        <v>1</v>
      </c>
    </row>
    <row r="301" spans="1:12" s="284" customFormat="1" ht="20.399999999999999" x14ac:dyDescent="0.45">
      <c r="A301" s="360" t="s">
        <v>246</v>
      </c>
      <c r="B301" s="361" t="s">
        <v>169</v>
      </c>
      <c r="C301" s="362">
        <v>97.813400000000001</v>
      </c>
      <c r="D301" s="362"/>
      <c r="E301" s="421" t="s">
        <v>346</v>
      </c>
      <c r="F301" s="362">
        <v>9.25</v>
      </c>
      <c r="G301" s="362">
        <v>9.5790000000000006</v>
      </c>
      <c r="H301" s="363" t="s">
        <v>170</v>
      </c>
      <c r="I301" s="364">
        <v>30000</v>
      </c>
      <c r="J301" s="364">
        <v>30000</v>
      </c>
      <c r="K301" s="364">
        <v>29344.04</v>
      </c>
      <c r="L301" s="365">
        <v>1</v>
      </c>
    </row>
    <row r="302" spans="1:12" s="284" customFormat="1" ht="20.399999999999999" x14ac:dyDescent="0.45">
      <c r="A302" s="360" t="s">
        <v>246</v>
      </c>
      <c r="B302" s="361" t="s">
        <v>169</v>
      </c>
      <c r="C302" s="362">
        <v>95.238</v>
      </c>
      <c r="D302" s="362"/>
      <c r="E302" s="421" t="s">
        <v>231</v>
      </c>
      <c r="F302" s="362">
        <v>10</v>
      </c>
      <c r="G302" s="362">
        <v>10.25</v>
      </c>
      <c r="H302" s="363" t="s">
        <v>170</v>
      </c>
      <c r="I302" s="364">
        <v>105000</v>
      </c>
      <c r="J302" s="364">
        <v>105000</v>
      </c>
      <c r="K302" s="364">
        <v>100000</v>
      </c>
      <c r="L302" s="365">
        <v>1</v>
      </c>
    </row>
    <row r="303" spans="1:12" s="284" customFormat="1" ht="20.399999999999999" x14ac:dyDescent="0.45">
      <c r="A303" s="360" t="s">
        <v>246</v>
      </c>
      <c r="B303" s="361" t="s">
        <v>169</v>
      </c>
      <c r="C303" s="362">
        <v>95.099000000000004</v>
      </c>
      <c r="D303" s="362"/>
      <c r="E303" s="421" t="s">
        <v>229</v>
      </c>
      <c r="F303" s="362">
        <v>10.25</v>
      </c>
      <c r="G303" s="362">
        <v>10.510999999999999</v>
      </c>
      <c r="H303" s="363" t="s">
        <v>170</v>
      </c>
      <c r="I303" s="364">
        <v>40000</v>
      </c>
      <c r="J303" s="364">
        <v>40000</v>
      </c>
      <c r="K303" s="364">
        <v>38039.64</v>
      </c>
      <c r="L303" s="365">
        <v>1</v>
      </c>
    </row>
    <row r="304" spans="1:12" s="284" customFormat="1" ht="20.399999999999999" x14ac:dyDescent="0.45">
      <c r="A304" s="360" t="s">
        <v>432</v>
      </c>
      <c r="B304" s="361" t="s">
        <v>169</v>
      </c>
      <c r="C304" s="362">
        <v>91.5762</v>
      </c>
      <c r="D304" s="362"/>
      <c r="E304" s="421" t="s">
        <v>233</v>
      </c>
      <c r="F304" s="362">
        <v>9.25</v>
      </c>
      <c r="G304" s="362">
        <v>9.2520000000000007</v>
      </c>
      <c r="H304" s="363" t="s">
        <v>170</v>
      </c>
      <c r="I304" s="364">
        <v>175000</v>
      </c>
      <c r="J304" s="364">
        <v>175000</v>
      </c>
      <c r="K304" s="364">
        <v>160258.45000000001</v>
      </c>
      <c r="L304" s="365">
        <v>1</v>
      </c>
    </row>
    <row r="305" spans="1:12" s="284" customFormat="1" ht="20.399999999999999" x14ac:dyDescent="0.45">
      <c r="A305" s="360" t="s">
        <v>247</v>
      </c>
      <c r="B305" s="361" t="s">
        <v>169</v>
      </c>
      <c r="C305" s="362">
        <v>95.351600000000005</v>
      </c>
      <c r="D305" s="362"/>
      <c r="E305" s="421" t="s">
        <v>231</v>
      </c>
      <c r="F305" s="362">
        <v>9.75</v>
      </c>
      <c r="G305" s="362">
        <v>9.9870000000000001</v>
      </c>
      <c r="H305" s="363" t="s">
        <v>170</v>
      </c>
      <c r="I305" s="364">
        <v>10488</v>
      </c>
      <c r="J305" s="364">
        <v>10488</v>
      </c>
      <c r="K305" s="364">
        <v>10000.48</v>
      </c>
      <c r="L305" s="365">
        <v>1</v>
      </c>
    </row>
    <row r="306" spans="1:12" s="284" customFormat="1" ht="20.399999999999999" x14ac:dyDescent="0.45">
      <c r="A306" s="360" t="s">
        <v>247</v>
      </c>
      <c r="B306" s="361" t="s">
        <v>169</v>
      </c>
      <c r="C306" s="362">
        <v>95.326899999999995</v>
      </c>
      <c r="D306" s="362"/>
      <c r="E306" s="421" t="s">
        <v>229</v>
      </c>
      <c r="F306" s="362">
        <v>9.75</v>
      </c>
      <c r="G306" s="362">
        <v>9.9860000000000007</v>
      </c>
      <c r="H306" s="363" t="s">
        <v>170</v>
      </c>
      <c r="I306" s="364">
        <v>10491</v>
      </c>
      <c r="J306" s="364">
        <v>10491</v>
      </c>
      <c r="K306" s="364">
        <v>10000.75</v>
      </c>
      <c r="L306" s="365">
        <v>1</v>
      </c>
    </row>
    <row r="307" spans="1:12" s="284" customFormat="1" ht="20.399999999999999" x14ac:dyDescent="0.45">
      <c r="A307" s="360" t="s">
        <v>247</v>
      </c>
      <c r="B307" s="361" t="s">
        <v>169</v>
      </c>
      <c r="C307" s="362">
        <v>91.060100000000006</v>
      </c>
      <c r="D307" s="362"/>
      <c r="E307" s="421" t="s">
        <v>191</v>
      </c>
      <c r="F307" s="362">
        <v>9.9</v>
      </c>
      <c r="G307" s="362">
        <v>9.9030000000000005</v>
      </c>
      <c r="H307" s="363" t="s">
        <v>170</v>
      </c>
      <c r="I307" s="364">
        <v>11499</v>
      </c>
      <c r="J307" s="364">
        <v>11499</v>
      </c>
      <c r="K307" s="364">
        <v>10471.01</v>
      </c>
      <c r="L307" s="365">
        <v>2</v>
      </c>
    </row>
    <row r="308" spans="1:12" s="284" customFormat="1" ht="20.399999999999999" x14ac:dyDescent="0.45">
      <c r="A308" s="360" t="s">
        <v>247</v>
      </c>
      <c r="B308" s="361" t="s">
        <v>169</v>
      </c>
      <c r="C308" s="362">
        <v>91.014499999999998</v>
      </c>
      <c r="D308" s="362"/>
      <c r="E308" s="421" t="s">
        <v>234</v>
      </c>
      <c r="F308" s="362">
        <v>9.9</v>
      </c>
      <c r="G308" s="362">
        <v>9.9009999999999998</v>
      </c>
      <c r="H308" s="363" t="s">
        <v>170</v>
      </c>
      <c r="I308" s="364">
        <v>16481</v>
      </c>
      <c r="J308" s="364">
        <v>16481</v>
      </c>
      <c r="K308" s="364">
        <v>15000.11</v>
      </c>
      <c r="L308" s="365">
        <v>1</v>
      </c>
    </row>
    <row r="309" spans="1:12" s="283" customFormat="1" ht="20.399999999999999" x14ac:dyDescent="0.45">
      <c r="A309" s="312" t="s">
        <v>174</v>
      </c>
      <c r="B309" s="366"/>
      <c r="C309" s="367"/>
      <c r="D309" s="367"/>
      <c r="E309" s="422"/>
      <c r="F309" s="367"/>
      <c r="G309" s="367"/>
      <c r="H309" s="368"/>
      <c r="I309" s="369">
        <f>SUM(I236:I308)</f>
        <v>12445554</v>
      </c>
      <c r="J309" s="369">
        <f t="shared" ref="J309:K309" si="13">SUM(J236:J308)</f>
        <v>12445554</v>
      </c>
      <c r="K309" s="369">
        <f t="shared" si="13"/>
        <v>11969116.34</v>
      </c>
      <c r="L309" s="314">
        <f>SUM(L236:L308)</f>
        <v>103</v>
      </c>
    </row>
    <row r="310" spans="1:12" s="283" customFormat="1" ht="20.399999999999999" x14ac:dyDescent="0.45">
      <c r="A310" s="312" t="s">
        <v>433</v>
      </c>
      <c r="B310" s="366"/>
      <c r="C310" s="367"/>
      <c r="D310" s="367"/>
      <c r="E310" s="422"/>
      <c r="F310" s="367"/>
      <c r="G310" s="367"/>
      <c r="H310" s="368"/>
      <c r="I310" s="369"/>
      <c r="J310" s="369"/>
      <c r="K310" s="369"/>
      <c r="L310" s="314"/>
    </row>
    <row r="311" spans="1:12" s="284" customFormat="1" ht="20.399999999999999" x14ac:dyDescent="0.45">
      <c r="A311" s="360" t="s">
        <v>434</v>
      </c>
      <c r="B311" s="361" t="s">
        <v>169</v>
      </c>
      <c r="C311" s="362">
        <v>99.287000000000006</v>
      </c>
      <c r="D311" s="362">
        <v>8.5</v>
      </c>
      <c r="E311" s="421" t="s">
        <v>435</v>
      </c>
      <c r="F311" s="362">
        <v>11</v>
      </c>
      <c r="G311" s="362">
        <v>11.433</v>
      </c>
      <c r="H311" s="363" t="s">
        <v>170</v>
      </c>
      <c r="I311" s="364">
        <v>31775.86</v>
      </c>
      <c r="J311" s="364">
        <v>31000</v>
      </c>
      <c r="K311" s="364">
        <v>30778.959999999999</v>
      </c>
      <c r="L311" s="365">
        <v>1</v>
      </c>
    </row>
    <row r="312" spans="1:12" s="284" customFormat="1" ht="20.399999999999999" x14ac:dyDescent="0.45">
      <c r="A312" s="360" t="s">
        <v>436</v>
      </c>
      <c r="B312" s="361" t="s">
        <v>169</v>
      </c>
      <c r="C312" s="362">
        <v>99.929500000000004</v>
      </c>
      <c r="D312" s="362">
        <v>8.5</v>
      </c>
      <c r="E312" s="421" t="s">
        <v>437</v>
      </c>
      <c r="F312" s="362">
        <v>10</v>
      </c>
      <c r="G312" s="362">
        <v>10.491</v>
      </c>
      <c r="H312" s="363" t="s">
        <v>170</v>
      </c>
      <c r="I312" s="364">
        <v>80478.740000000005</v>
      </c>
      <c r="J312" s="364">
        <v>80157</v>
      </c>
      <c r="K312" s="364">
        <v>80100.490000000005</v>
      </c>
      <c r="L312" s="365">
        <v>1</v>
      </c>
    </row>
    <row r="313" spans="1:12" s="283" customFormat="1" ht="20.399999999999999" x14ac:dyDescent="0.45">
      <c r="A313" s="312" t="s">
        <v>174</v>
      </c>
      <c r="B313" s="366"/>
      <c r="C313" s="367"/>
      <c r="D313" s="367"/>
      <c r="E313" s="422"/>
      <c r="F313" s="367"/>
      <c r="G313" s="367"/>
      <c r="H313" s="368"/>
      <c r="I313" s="369">
        <f>SUM(I311:I312)</f>
        <v>112254.6</v>
      </c>
      <c r="J313" s="369">
        <f t="shared" ref="J313:K313" si="14">SUM(J311:J312)</f>
        <v>111157</v>
      </c>
      <c r="K313" s="369">
        <f t="shared" si="14"/>
        <v>110879.45000000001</v>
      </c>
      <c r="L313" s="314">
        <f>SUM(L311:L312)</f>
        <v>2</v>
      </c>
    </row>
    <row r="314" spans="1:12" s="283" customFormat="1" ht="20.399999999999999" x14ac:dyDescent="0.45">
      <c r="A314" s="312" t="s">
        <v>248</v>
      </c>
      <c r="B314" s="366"/>
      <c r="C314" s="367"/>
      <c r="D314" s="367"/>
      <c r="E314" s="422"/>
      <c r="F314" s="367"/>
      <c r="G314" s="367"/>
      <c r="H314" s="368"/>
      <c r="I314" s="369"/>
      <c r="J314" s="369"/>
      <c r="K314" s="369"/>
      <c r="L314" s="314"/>
    </row>
    <row r="315" spans="1:12" s="284" customFormat="1" ht="20.399999999999999" x14ac:dyDescent="0.45">
      <c r="A315" s="360" t="s">
        <v>438</v>
      </c>
      <c r="B315" s="361" t="s">
        <v>169</v>
      </c>
      <c r="C315" s="362">
        <v>100.1327</v>
      </c>
      <c r="D315" s="362">
        <v>7.75</v>
      </c>
      <c r="E315" s="421" t="s">
        <v>439</v>
      </c>
      <c r="F315" s="362">
        <v>7.5</v>
      </c>
      <c r="G315" s="362">
        <v>7.7135800000000003</v>
      </c>
      <c r="H315" s="363" t="s">
        <v>178</v>
      </c>
      <c r="I315" s="364">
        <v>83300</v>
      </c>
      <c r="J315" s="364">
        <v>83300</v>
      </c>
      <c r="K315" s="364">
        <v>83410.62</v>
      </c>
      <c r="L315" s="365">
        <v>1</v>
      </c>
    </row>
    <row r="316" spans="1:12" s="284" customFormat="1" ht="20.399999999999999" x14ac:dyDescent="0.45">
      <c r="A316" s="360" t="s">
        <v>438</v>
      </c>
      <c r="B316" s="361" t="s">
        <v>169</v>
      </c>
      <c r="C316" s="362">
        <v>99.960999999999999</v>
      </c>
      <c r="D316" s="362">
        <v>7.75</v>
      </c>
      <c r="E316" s="421" t="s">
        <v>440</v>
      </c>
      <c r="F316" s="362">
        <v>7.8</v>
      </c>
      <c r="G316" s="362">
        <v>8.0311299999999992</v>
      </c>
      <c r="H316" s="363" t="s">
        <v>178</v>
      </c>
      <c r="I316" s="364">
        <v>191590</v>
      </c>
      <c r="J316" s="364">
        <v>191590</v>
      </c>
      <c r="K316" s="364">
        <v>191514.52</v>
      </c>
      <c r="L316" s="365">
        <v>2</v>
      </c>
    </row>
    <row r="317" spans="1:12" s="284" customFormat="1" ht="20.399999999999999" x14ac:dyDescent="0.45">
      <c r="A317" s="360" t="s">
        <v>206</v>
      </c>
      <c r="B317" s="361" t="s">
        <v>169</v>
      </c>
      <c r="C317" s="362">
        <v>100.7595</v>
      </c>
      <c r="D317" s="362">
        <v>7</v>
      </c>
      <c r="E317" s="421" t="s">
        <v>441</v>
      </c>
      <c r="F317" s="362">
        <v>6.45</v>
      </c>
      <c r="G317" s="362">
        <v>6.5540000000000003</v>
      </c>
      <c r="H317" s="363" t="s">
        <v>178</v>
      </c>
      <c r="I317" s="364">
        <v>120000</v>
      </c>
      <c r="J317" s="364">
        <v>120000</v>
      </c>
      <c r="K317" s="364">
        <v>120911.49</v>
      </c>
      <c r="L317" s="365">
        <v>1</v>
      </c>
    </row>
    <row r="318" spans="1:12" s="284" customFormat="1" ht="20.399999999999999" x14ac:dyDescent="0.45">
      <c r="A318" s="360" t="s">
        <v>206</v>
      </c>
      <c r="B318" s="361" t="s">
        <v>169</v>
      </c>
      <c r="C318" s="362">
        <v>99.608000000000004</v>
      </c>
      <c r="D318" s="362">
        <v>7.43</v>
      </c>
      <c r="E318" s="421" t="s">
        <v>442</v>
      </c>
      <c r="F318" s="362">
        <v>7.7</v>
      </c>
      <c r="G318" s="362">
        <v>7.8482200000000004</v>
      </c>
      <c r="H318" s="363" t="s">
        <v>178</v>
      </c>
      <c r="I318" s="364">
        <v>41650</v>
      </c>
      <c r="J318" s="364">
        <v>41650</v>
      </c>
      <c r="K318" s="364">
        <v>41486.769999999997</v>
      </c>
      <c r="L318" s="365">
        <v>1</v>
      </c>
    </row>
    <row r="319" spans="1:12" s="284" customFormat="1" ht="20.399999999999999" x14ac:dyDescent="0.45">
      <c r="A319" s="360" t="s">
        <v>206</v>
      </c>
      <c r="B319" s="361" t="s">
        <v>169</v>
      </c>
      <c r="C319" s="362">
        <v>99.000600000000006</v>
      </c>
      <c r="D319" s="362">
        <v>7.43</v>
      </c>
      <c r="E319" s="421" t="s">
        <v>443</v>
      </c>
      <c r="F319" s="362">
        <v>7.8</v>
      </c>
      <c r="G319" s="362">
        <v>7.9520999999999997</v>
      </c>
      <c r="H319" s="363" t="s">
        <v>178</v>
      </c>
      <c r="I319" s="364">
        <v>208250</v>
      </c>
      <c r="J319" s="364">
        <v>208250</v>
      </c>
      <c r="K319" s="364">
        <v>206168.94</v>
      </c>
      <c r="L319" s="365">
        <v>1</v>
      </c>
    </row>
    <row r="320" spans="1:12" s="284" customFormat="1" ht="20.399999999999999" x14ac:dyDescent="0.45">
      <c r="A320" s="360" t="s">
        <v>206</v>
      </c>
      <c r="B320" s="361" t="s">
        <v>169</v>
      </c>
      <c r="C320" s="362">
        <v>97.883499999999998</v>
      </c>
      <c r="D320" s="362">
        <v>7.43</v>
      </c>
      <c r="E320" s="421" t="s">
        <v>444</v>
      </c>
      <c r="F320" s="362">
        <v>7.85</v>
      </c>
      <c r="G320" s="362">
        <v>8.0040499999999994</v>
      </c>
      <c r="H320" s="363" t="s">
        <v>178</v>
      </c>
      <c r="I320" s="364">
        <v>167400</v>
      </c>
      <c r="J320" s="364">
        <v>167400</v>
      </c>
      <c r="K320" s="364">
        <v>163857.09</v>
      </c>
      <c r="L320" s="365">
        <v>1</v>
      </c>
    </row>
    <row r="321" spans="1:12" s="284" customFormat="1" ht="20.399999999999999" x14ac:dyDescent="0.45">
      <c r="A321" s="360" t="s">
        <v>210</v>
      </c>
      <c r="B321" s="361" t="s">
        <v>169</v>
      </c>
      <c r="C321" s="362">
        <v>99.887500000000003</v>
      </c>
      <c r="D321" s="362">
        <v>9</v>
      </c>
      <c r="E321" s="421" t="s">
        <v>262</v>
      </c>
      <c r="F321" s="362">
        <v>9.9</v>
      </c>
      <c r="G321" s="362">
        <v>10.273630000000001</v>
      </c>
      <c r="H321" s="363" t="s">
        <v>178</v>
      </c>
      <c r="I321" s="364">
        <v>3000</v>
      </c>
      <c r="J321" s="364">
        <v>3000</v>
      </c>
      <c r="K321" s="364">
        <v>2996.63</v>
      </c>
      <c r="L321" s="365">
        <v>1</v>
      </c>
    </row>
    <row r="322" spans="1:12" s="284" customFormat="1" ht="20.399999999999999" x14ac:dyDescent="0.45">
      <c r="A322" s="360" t="s">
        <v>210</v>
      </c>
      <c r="B322" s="361" t="s">
        <v>169</v>
      </c>
      <c r="C322" s="362">
        <v>99.222999999999999</v>
      </c>
      <c r="D322" s="362">
        <v>9</v>
      </c>
      <c r="E322" s="421" t="s">
        <v>445</v>
      </c>
      <c r="F322" s="362">
        <v>9.9</v>
      </c>
      <c r="G322" s="362">
        <v>10.273630000000001</v>
      </c>
      <c r="H322" s="363" t="s">
        <v>178</v>
      </c>
      <c r="I322" s="364">
        <v>10000</v>
      </c>
      <c r="J322" s="364">
        <v>10000</v>
      </c>
      <c r="K322" s="364">
        <v>9922.31</v>
      </c>
      <c r="L322" s="365">
        <v>1</v>
      </c>
    </row>
    <row r="323" spans="1:12" s="284" customFormat="1" ht="20.399999999999999" x14ac:dyDescent="0.45">
      <c r="A323" s="360" t="s">
        <v>210</v>
      </c>
      <c r="B323" s="361" t="s">
        <v>169</v>
      </c>
      <c r="C323" s="362">
        <v>99.022099999999995</v>
      </c>
      <c r="D323" s="362">
        <v>9</v>
      </c>
      <c r="E323" s="421" t="s">
        <v>446</v>
      </c>
      <c r="F323" s="362">
        <v>9.9</v>
      </c>
      <c r="G323" s="362">
        <v>10.273630000000001</v>
      </c>
      <c r="H323" s="363" t="s">
        <v>178</v>
      </c>
      <c r="I323" s="364">
        <v>10000</v>
      </c>
      <c r="J323" s="364">
        <v>10000</v>
      </c>
      <c r="K323" s="364">
        <v>9902.2099999999991</v>
      </c>
      <c r="L323" s="365">
        <v>1</v>
      </c>
    </row>
    <row r="324" spans="1:12" s="284" customFormat="1" ht="20.399999999999999" x14ac:dyDescent="0.45">
      <c r="A324" s="360" t="s">
        <v>210</v>
      </c>
      <c r="B324" s="361" t="s">
        <v>169</v>
      </c>
      <c r="C324" s="362">
        <v>99.391800000000003</v>
      </c>
      <c r="D324" s="362">
        <v>9</v>
      </c>
      <c r="E324" s="421" t="s">
        <v>447</v>
      </c>
      <c r="F324" s="362">
        <v>10</v>
      </c>
      <c r="G324" s="362">
        <v>10.38128</v>
      </c>
      <c r="H324" s="363" t="s">
        <v>178</v>
      </c>
      <c r="I324" s="364">
        <v>10000</v>
      </c>
      <c r="J324" s="364">
        <v>10000</v>
      </c>
      <c r="K324" s="364">
        <v>9939.18</v>
      </c>
      <c r="L324" s="365">
        <v>1</v>
      </c>
    </row>
    <row r="325" spans="1:12" s="284" customFormat="1" ht="20.399999999999999" x14ac:dyDescent="0.45">
      <c r="A325" s="360" t="s">
        <v>210</v>
      </c>
      <c r="B325" s="361" t="s">
        <v>169</v>
      </c>
      <c r="C325" s="362">
        <v>98.723100000000002</v>
      </c>
      <c r="D325" s="362">
        <v>9</v>
      </c>
      <c r="E325" s="421" t="s">
        <v>448</v>
      </c>
      <c r="F325" s="362">
        <v>10</v>
      </c>
      <c r="G325" s="362">
        <v>10.38128</v>
      </c>
      <c r="H325" s="363" t="s">
        <v>178</v>
      </c>
      <c r="I325" s="364">
        <v>10000</v>
      </c>
      <c r="J325" s="364">
        <v>10000</v>
      </c>
      <c r="K325" s="364">
        <v>9872.31</v>
      </c>
      <c r="L325" s="365">
        <v>1</v>
      </c>
    </row>
    <row r="326" spans="1:12" s="284" customFormat="1" ht="20.399999999999999" x14ac:dyDescent="0.45">
      <c r="A326" s="360" t="s">
        <v>210</v>
      </c>
      <c r="B326" s="361" t="s">
        <v>169</v>
      </c>
      <c r="C326" s="362">
        <v>98.510199999999998</v>
      </c>
      <c r="D326" s="362">
        <v>9</v>
      </c>
      <c r="E326" s="421" t="s">
        <v>449</v>
      </c>
      <c r="F326" s="362">
        <v>10</v>
      </c>
      <c r="G326" s="362">
        <v>10.38128</v>
      </c>
      <c r="H326" s="363" t="s">
        <v>178</v>
      </c>
      <c r="I326" s="364">
        <v>10000</v>
      </c>
      <c r="J326" s="364">
        <v>10000</v>
      </c>
      <c r="K326" s="364">
        <v>9851.02</v>
      </c>
      <c r="L326" s="365">
        <v>1</v>
      </c>
    </row>
    <row r="327" spans="1:12" s="284" customFormat="1" ht="20.399999999999999" x14ac:dyDescent="0.45">
      <c r="A327" s="360" t="s">
        <v>215</v>
      </c>
      <c r="B327" s="361" t="s">
        <v>169</v>
      </c>
      <c r="C327" s="362">
        <v>100.0949</v>
      </c>
      <c r="D327" s="362">
        <v>6.8</v>
      </c>
      <c r="E327" s="421" t="s">
        <v>450</v>
      </c>
      <c r="F327" s="362">
        <v>6.7</v>
      </c>
      <c r="G327" s="362">
        <v>6.8122199999999999</v>
      </c>
      <c r="H327" s="363" t="s">
        <v>178</v>
      </c>
      <c r="I327" s="364">
        <v>121380</v>
      </c>
      <c r="J327" s="364">
        <v>121380</v>
      </c>
      <c r="K327" s="364">
        <v>121495.3</v>
      </c>
      <c r="L327" s="365">
        <v>1</v>
      </c>
    </row>
    <row r="328" spans="1:12" s="284" customFormat="1" ht="20.399999999999999" x14ac:dyDescent="0.45">
      <c r="A328" s="360" t="s">
        <v>215</v>
      </c>
      <c r="B328" s="361" t="s">
        <v>169</v>
      </c>
      <c r="C328" s="362">
        <v>100.05889999999999</v>
      </c>
      <c r="D328" s="362">
        <v>6.8</v>
      </c>
      <c r="E328" s="421" t="s">
        <v>451</v>
      </c>
      <c r="F328" s="362">
        <v>6.78</v>
      </c>
      <c r="G328" s="362">
        <v>6.8949199999999999</v>
      </c>
      <c r="H328" s="363" t="s">
        <v>178</v>
      </c>
      <c r="I328" s="364">
        <v>114240</v>
      </c>
      <c r="J328" s="364">
        <v>114240</v>
      </c>
      <c r="K328" s="364">
        <v>114307.39</v>
      </c>
      <c r="L328" s="365">
        <v>1</v>
      </c>
    </row>
    <row r="329" spans="1:12" s="284" customFormat="1" ht="20.399999999999999" x14ac:dyDescent="0.45">
      <c r="A329" s="360" t="s">
        <v>215</v>
      </c>
      <c r="B329" s="361" t="s">
        <v>169</v>
      </c>
      <c r="C329" s="362">
        <v>100.0939</v>
      </c>
      <c r="D329" s="362">
        <v>7.1</v>
      </c>
      <c r="E329" s="421" t="s">
        <v>452</v>
      </c>
      <c r="F329" s="362">
        <v>7</v>
      </c>
      <c r="G329" s="362">
        <v>7.1224999999999996</v>
      </c>
      <c r="H329" s="363" t="s">
        <v>178</v>
      </c>
      <c r="I329" s="364">
        <v>100000</v>
      </c>
      <c r="J329" s="364">
        <v>100000</v>
      </c>
      <c r="K329" s="364">
        <v>100094</v>
      </c>
      <c r="L329" s="365">
        <v>1</v>
      </c>
    </row>
    <row r="330" spans="1:12" s="284" customFormat="1" ht="20.399999999999999" x14ac:dyDescent="0.45">
      <c r="A330" s="360" t="s">
        <v>215</v>
      </c>
      <c r="B330" s="361" t="s">
        <v>169</v>
      </c>
      <c r="C330" s="362">
        <v>100.3781</v>
      </c>
      <c r="D330" s="362">
        <v>7.1</v>
      </c>
      <c r="E330" s="421" t="s">
        <v>453</v>
      </c>
      <c r="F330" s="362">
        <v>7</v>
      </c>
      <c r="G330" s="362">
        <v>7.1224999999999996</v>
      </c>
      <c r="H330" s="363" t="s">
        <v>178</v>
      </c>
      <c r="I330" s="364">
        <v>100000</v>
      </c>
      <c r="J330" s="364">
        <v>100000</v>
      </c>
      <c r="K330" s="364">
        <v>100378.15</v>
      </c>
      <c r="L330" s="365">
        <v>1</v>
      </c>
    </row>
    <row r="331" spans="1:12" s="284" customFormat="1" ht="20.399999999999999" x14ac:dyDescent="0.45">
      <c r="A331" s="360" t="s">
        <v>454</v>
      </c>
      <c r="B331" s="361" t="s">
        <v>169</v>
      </c>
      <c r="C331" s="362">
        <v>99.998000000000005</v>
      </c>
      <c r="D331" s="362">
        <v>10</v>
      </c>
      <c r="E331" s="421" t="s">
        <v>252</v>
      </c>
      <c r="F331" s="362">
        <v>10</v>
      </c>
      <c r="G331" s="362">
        <v>10.38128</v>
      </c>
      <c r="H331" s="363" t="s">
        <v>178</v>
      </c>
      <c r="I331" s="364">
        <v>6352</v>
      </c>
      <c r="J331" s="364">
        <v>6352</v>
      </c>
      <c r="K331" s="364">
        <v>6351.88</v>
      </c>
      <c r="L331" s="365">
        <v>1</v>
      </c>
    </row>
    <row r="332" spans="1:12" s="284" customFormat="1" ht="20.399999999999999" x14ac:dyDescent="0.45">
      <c r="A332" s="360" t="s">
        <v>454</v>
      </c>
      <c r="B332" s="361" t="s">
        <v>169</v>
      </c>
      <c r="C332" s="362">
        <v>100</v>
      </c>
      <c r="D332" s="362">
        <v>10</v>
      </c>
      <c r="E332" s="421" t="s">
        <v>188</v>
      </c>
      <c r="F332" s="362">
        <v>10</v>
      </c>
      <c r="G332" s="362">
        <v>10.38128</v>
      </c>
      <c r="H332" s="363" t="s">
        <v>178</v>
      </c>
      <c r="I332" s="364">
        <v>37398</v>
      </c>
      <c r="J332" s="364">
        <v>37398</v>
      </c>
      <c r="K332" s="364">
        <v>37398</v>
      </c>
      <c r="L332" s="365">
        <v>1</v>
      </c>
    </row>
    <row r="333" spans="1:12" s="284" customFormat="1" ht="20.399999999999999" x14ac:dyDescent="0.45">
      <c r="A333" s="360" t="s">
        <v>454</v>
      </c>
      <c r="B333" s="361" t="s">
        <v>169</v>
      </c>
      <c r="C333" s="362">
        <v>99.823499999999996</v>
      </c>
      <c r="D333" s="362">
        <v>10</v>
      </c>
      <c r="E333" s="421" t="s">
        <v>455</v>
      </c>
      <c r="F333" s="362">
        <v>10.25</v>
      </c>
      <c r="G333" s="362">
        <v>10.65075</v>
      </c>
      <c r="H333" s="363" t="s">
        <v>178</v>
      </c>
      <c r="I333" s="364">
        <v>5000</v>
      </c>
      <c r="J333" s="364">
        <v>5000</v>
      </c>
      <c r="K333" s="364">
        <v>4991.18</v>
      </c>
      <c r="L333" s="365">
        <v>1</v>
      </c>
    </row>
    <row r="334" spans="1:12" s="284" customFormat="1" ht="20.399999999999999" x14ac:dyDescent="0.45">
      <c r="A334" s="360" t="s">
        <v>454</v>
      </c>
      <c r="B334" s="361" t="s">
        <v>169</v>
      </c>
      <c r="C334" s="362">
        <v>99.531099999999995</v>
      </c>
      <c r="D334" s="362">
        <v>10</v>
      </c>
      <c r="E334" s="421" t="s">
        <v>456</v>
      </c>
      <c r="F334" s="362">
        <v>10.5</v>
      </c>
      <c r="G334" s="362">
        <v>10.920719999999999</v>
      </c>
      <c r="H334" s="363" t="s">
        <v>178</v>
      </c>
      <c r="I334" s="364">
        <v>43750</v>
      </c>
      <c r="J334" s="364">
        <v>43750</v>
      </c>
      <c r="K334" s="364">
        <v>43544.89</v>
      </c>
      <c r="L334" s="365">
        <v>1</v>
      </c>
    </row>
    <row r="335" spans="1:12" s="283" customFormat="1" ht="20.399999999999999" x14ac:dyDescent="0.45">
      <c r="A335" s="312" t="s">
        <v>174</v>
      </c>
      <c r="B335" s="366"/>
      <c r="C335" s="367"/>
      <c r="D335" s="367"/>
      <c r="E335" s="422"/>
      <c r="F335" s="367"/>
      <c r="G335" s="367"/>
      <c r="H335" s="368"/>
      <c r="I335" s="369">
        <f>SUM(I315:I334)</f>
        <v>1393310</v>
      </c>
      <c r="J335" s="369">
        <f t="shared" ref="J335:K335" si="15">SUM(J315:J334)</f>
        <v>1393310</v>
      </c>
      <c r="K335" s="369">
        <f t="shared" si="15"/>
        <v>1388393.88</v>
      </c>
      <c r="L335" s="314">
        <f>SUM(L315:L334)</f>
        <v>21</v>
      </c>
    </row>
    <row r="336" spans="1:12" s="283" customFormat="1" ht="20.399999999999999" x14ac:dyDescent="0.45">
      <c r="A336" s="312" t="s">
        <v>457</v>
      </c>
      <c r="B336" s="366"/>
      <c r="C336" s="367"/>
      <c r="D336" s="367"/>
      <c r="E336" s="422"/>
      <c r="F336" s="367"/>
      <c r="G336" s="367"/>
      <c r="H336" s="368"/>
      <c r="I336" s="369"/>
      <c r="J336" s="369"/>
      <c r="K336" s="369"/>
      <c r="L336" s="314"/>
    </row>
    <row r="337" spans="1:12" s="284" customFormat="1" ht="20.399999999999999" x14ac:dyDescent="0.45">
      <c r="A337" s="360" t="s">
        <v>458</v>
      </c>
      <c r="B337" s="361" t="s">
        <v>169</v>
      </c>
      <c r="C337" s="362">
        <v>95.642300000000006</v>
      </c>
      <c r="D337" s="362">
        <v>9.75</v>
      </c>
      <c r="E337" s="421" t="s">
        <v>459</v>
      </c>
      <c r="F337" s="362">
        <v>13</v>
      </c>
      <c r="G337" s="362">
        <v>13.647589999999999</v>
      </c>
      <c r="H337" s="363" t="s">
        <v>178</v>
      </c>
      <c r="I337" s="364">
        <v>10000</v>
      </c>
      <c r="J337" s="364">
        <v>10000</v>
      </c>
      <c r="K337" s="364">
        <v>9564.24</v>
      </c>
      <c r="L337" s="365">
        <v>1</v>
      </c>
    </row>
    <row r="338" spans="1:12" s="283" customFormat="1" ht="20.399999999999999" x14ac:dyDescent="0.45">
      <c r="A338" s="312" t="s">
        <v>174</v>
      </c>
      <c r="B338" s="366"/>
      <c r="C338" s="367"/>
      <c r="D338" s="367"/>
      <c r="E338" s="422"/>
      <c r="F338" s="367"/>
      <c r="G338" s="367"/>
      <c r="H338" s="368"/>
      <c r="I338" s="369">
        <f>SUM(I337)</f>
        <v>10000</v>
      </c>
      <c r="J338" s="369">
        <f t="shared" ref="J338:K338" si="16">SUM(J337)</f>
        <v>10000</v>
      </c>
      <c r="K338" s="369">
        <f t="shared" si="16"/>
        <v>9564.24</v>
      </c>
      <c r="L338" s="314">
        <f>SUM(L337)</f>
        <v>1</v>
      </c>
    </row>
    <row r="339" spans="1:12" s="283" customFormat="1" ht="20.399999999999999" x14ac:dyDescent="0.45">
      <c r="A339" s="312" t="s">
        <v>251</v>
      </c>
      <c r="B339" s="366"/>
      <c r="C339" s="367"/>
      <c r="D339" s="367"/>
      <c r="E339" s="422"/>
      <c r="F339" s="367"/>
      <c r="G339" s="367"/>
      <c r="H339" s="368"/>
      <c r="I339" s="369"/>
      <c r="J339" s="369"/>
      <c r="K339" s="369"/>
      <c r="L339" s="314"/>
    </row>
    <row r="340" spans="1:12" s="284" customFormat="1" ht="20.399999999999999" x14ac:dyDescent="0.45">
      <c r="A340" s="360" t="s">
        <v>168</v>
      </c>
      <c r="B340" s="361" t="s">
        <v>169</v>
      </c>
      <c r="C340" s="362">
        <v>100</v>
      </c>
      <c r="D340" s="362">
        <v>2.7315999999999998</v>
      </c>
      <c r="E340" s="421" t="s">
        <v>236</v>
      </c>
      <c r="F340" s="362">
        <v>2.7315999999999998</v>
      </c>
      <c r="G340" s="362">
        <v>2.75</v>
      </c>
      <c r="H340" s="363" t="s">
        <v>170</v>
      </c>
      <c r="I340" s="364">
        <v>2534524.39</v>
      </c>
      <c r="J340" s="364">
        <v>2500000</v>
      </c>
      <c r="K340" s="364">
        <v>2500000</v>
      </c>
      <c r="L340" s="365">
        <v>1</v>
      </c>
    </row>
    <row r="341" spans="1:12" s="284" customFormat="1" ht="20.399999999999999" x14ac:dyDescent="0.45">
      <c r="A341" s="360" t="s">
        <v>168</v>
      </c>
      <c r="B341" s="361" t="s">
        <v>169</v>
      </c>
      <c r="C341" s="362">
        <v>100</v>
      </c>
      <c r="D341" s="362">
        <v>8.1999999999999993</v>
      </c>
      <c r="E341" s="421" t="s">
        <v>326</v>
      </c>
      <c r="F341" s="362">
        <v>8.1999999999999993</v>
      </c>
      <c r="G341" s="362">
        <v>8.2000000000000011</v>
      </c>
      <c r="H341" s="363" t="s">
        <v>170</v>
      </c>
      <c r="I341" s="364">
        <v>3502.25</v>
      </c>
      <c r="J341" s="364">
        <v>3000</v>
      </c>
      <c r="K341" s="364">
        <v>3000</v>
      </c>
      <c r="L341" s="365">
        <v>1</v>
      </c>
    </row>
    <row r="342" spans="1:12" s="283" customFormat="1" ht="20.399999999999999" x14ac:dyDescent="0.45">
      <c r="A342" s="312" t="s">
        <v>174</v>
      </c>
      <c r="B342" s="366"/>
      <c r="C342" s="367"/>
      <c r="D342" s="367"/>
      <c r="E342" s="422"/>
      <c r="F342" s="367"/>
      <c r="G342" s="367"/>
      <c r="H342" s="368"/>
      <c r="I342" s="369">
        <f>SUM(I340:I341)</f>
        <v>2538026.64</v>
      </c>
      <c r="J342" s="369">
        <f t="shared" ref="J342:K342" si="17">SUM(J340:J341)</f>
        <v>2503000</v>
      </c>
      <c r="K342" s="369">
        <f t="shared" si="17"/>
        <v>2503000</v>
      </c>
      <c r="L342" s="314">
        <f>SUM(L340:L341)</f>
        <v>2</v>
      </c>
    </row>
    <row r="343" spans="1:12" s="283" customFormat="1" ht="20.399999999999999" x14ac:dyDescent="0.45">
      <c r="A343" s="312" t="s">
        <v>255</v>
      </c>
      <c r="B343" s="366"/>
      <c r="C343" s="367"/>
      <c r="D343" s="367"/>
      <c r="E343" s="422"/>
      <c r="F343" s="367"/>
      <c r="G343" s="367"/>
      <c r="H343" s="368"/>
      <c r="I343" s="369"/>
      <c r="J343" s="369"/>
      <c r="K343" s="369"/>
      <c r="L343" s="314"/>
    </row>
    <row r="344" spans="1:12" s="284" customFormat="1" ht="20.399999999999999" x14ac:dyDescent="0.45">
      <c r="A344" s="360" t="s">
        <v>256</v>
      </c>
      <c r="B344" s="361" t="s">
        <v>169</v>
      </c>
      <c r="C344" s="362">
        <v>100</v>
      </c>
      <c r="D344" s="362">
        <v>1.9821</v>
      </c>
      <c r="E344" s="421" t="s">
        <v>344</v>
      </c>
      <c r="F344" s="362">
        <v>1.9821</v>
      </c>
      <c r="G344" s="362">
        <v>2</v>
      </c>
      <c r="H344" s="363" t="s">
        <v>170</v>
      </c>
      <c r="I344" s="364">
        <v>9517260.7899999991</v>
      </c>
      <c r="J344" s="364">
        <v>9500000</v>
      </c>
      <c r="K344" s="364">
        <v>9500000</v>
      </c>
      <c r="L344" s="365">
        <v>2</v>
      </c>
    </row>
    <row r="345" spans="1:12" s="284" customFormat="1" ht="20.399999999999999" x14ac:dyDescent="0.45">
      <c r="A345" s="360" t="s">
        <v>256</v>
      </c>
      <c r="B345" s="361" t="s">
        <v>169</v>
      </c>
      <c r="C345" s="362">
        <v>100</v>
      </c>
      <c r="D345" s="362">
        <v>1.9822</v>
      </c>
      <c r="E345" s="421" t="s">
        <v>258</v>
      </c>
      <c r="F345" s="362">
        <v>1.9822</v>
      </c>
      <c r="G345" s="362">
        <v>2</v>
      </c>
      <c r="H345" s="363" t="s">
        <v>170</v>
      </c>
      <c r="I345" s="364">
        <v>3005781.42</v>
      </c>
      <c r="J345" s="364">
        <v>3000000</v>
      </c>
      <c r="K345" s="364">
        <v>3000000</v>
      </c>
      <c r="L345" s="365">
        <v>1</v>
      </c>
    </row>
    <row r="346" spans="1:12" s="284" customFormat="1" ht="20.399999999999999" x14ac:dyDescent="0.45">
      <c r="A346" s="360" t="s">
        <v>256</v>
      </c>
      <c r="B346" s="361" t="s">
        <v>169</v>
      </c>
      <c r="C346" s="362">
        <v>100</v>
      </c>
      <c r="D346" s="362">
        <v>2.7315999999999998</v>
      </c>
      <c r="E346" s="421" t="s">
        <v>236</v>
      </c>
      <c r="F346" s="362">
        <v>2.7315999999999998</v>
      </c>
      <c r="G346" s="362">
        <v>2.75</v>
      </c>
      <c r="H346" s="363" t="s">
        <v>170</v>
      </c>
      <c r="I346" s="364">
        <v>2534524.39</v>
      </c>
      <c r="J346" s="364">
        <v>2500000</v>
      </c>
      <c r="K346" s="364">
        <v>2500000</v>
      </c>
      <c r="L346" s="365">
        <v>1</v>
      </c>
    </row>
    <row r="347" spans="1:12" s="284" customFormat="1" ht="20.399999999999999" x14ac:dyDescent="0.45">
      <c r="A347" s="360" t="s">
        <v>256</v>
      </c>
      <c r="B347" s="361" t="s">
        <v>169</v>
      </c>
      <c r="C347" s="362">
        <v>100</v>
      </c>
      <c r="D347" s="362">
        <v>2.7498999999999998</v>
      </c>
      <c r="E347" s="421" t="s">
        <v>234</v>
      </c>
      <c r="F347" s="362">
        <v>2.7498999999999998</v>
      </c>
      <c r="G347" s="362">
        <v>2.75</v>
      </c>
      <c r="H347" s="363" t="s">
        <v>170</v>
      </c>
      <c r="I347" s="364">
        <v>6549819.1600000001</v>
      </c>
      <c r="J347" s="364">
        <v>6375000</v>
      </c>
      <c r="K347" s="364">
        <v>6375000</v>
      </c>
      <c r="L347" s="365">
        <v>2</v>
      </c>
    </row>
    <row r="348" spans="1:12" s="284" customFormat="1" ht="20.399999999999999" x14ac:dyDescent="0.45">
      <c r="A348" s="360" t="s">
        <v>257</v>
      </c>
      <c r="B348" s="361" t="s">
        <v>169</v>
      </c>
      <c r="C348" s="362">
        <v>100</v>
      </c>
      <c r="D348" s="362">
        <v>1.5</v>
      </c>
      <c r="E348" s="421" t="s">
        <v>258</v>
      </c>
      <c r="F348" s="362">
        <v>1.5</v>
      </c>
      <c r="G348" s="362">
        <v>1.51</v>
      </c>
      <c r="H348" s="363" t="s">
        <v>170</v>
      </c>
      <c r="I348" s="364">
        <v>30219005.199999999</v>
      </c>
      <c r="J348" s="364">
        <v>30175000</v>
      </c>
      <c r="K348" s="364">
        <v>30175000</v>
      </c>
      <c r="L348" s="365">
        <v>4</v>
      </c>
    </row>
    <row r="349" spans="1:12" s="284" customFormat="1" ht="20.399999999999999" x14ac:dyDescent="0.45">
      <c r="A349" s="360" t="s">
        <v>257</v>
      </c>
      <c r="B349" s="361" t="s">
        <v>169</v>
      </c>
      <c r="C349" s="362">
        <v>100</v>
      </c>
      <c r="D349" s="362">
        <v>1.5</v>
      </c>
      <c r="E349" s="421" t="s">
        <v>460</v>
      </c>
      <c r="F349" s="362">
        <v>1.5</v>
      </c>
      <c r="G349" s="362">
        <v>1.51</v>
      </c>
      <c r="H349" s="363" t="s">
        <v>170</v>
      </c>
      <c r="I349" s="364">
        <v>500833.33</v>
      </c>
      <c r="J349" s="364">
        <v>500000</v>
      </c>
      <c r="K349" s="364">
        <v>500000</v>
      </c>
      <c r="L349" s="365">
        <v>1</v>
      </c>
    </row>
    <row r="350" spans="1:12" s="284" customFormat="1" ht="20.399999999999999" x14ac:dyDescent="0.45">
      <c r="A350" s="360" t="s">
        <v>257</v>
      </c>
      <c r="B350" s="361" t="s">
        <v>169</v>
      </c>
      <c r="C350" s="362">
        <v>100</v>
      </c>
      <c r="D350" s="362">
        <v>2</v>
      </c>
      <c r="E350" s="421" t="s">
        <v>260</v>
      </c>
      <c r="F350" s="362">
        <v>2</v>
      </c>
      <c r="G350" s="362">
        <v>2.016</v>
      </c>
      <c r="H350" s="363" t="s">
        <v>170</v>
      </c>
      <c r="I350" s="364">
        <v>3913650</v>
      </c>
      <c r="J350" s="364">
        <v>3900000</v>
      </c>
      <c r="K350" s="364">
        <v>3900000</v>
      </c>
      <c r="L350" s="365">
        <v>2</v>
      </c>
    </row>
    <row r="351" spans="1:12" s="284" customFormat="1" ht="20.399999999999999" x14ac:dyDescent="0.45">
      <c r="A351" s="360" t="s">
        <v>257</v>
      </c>
      <c r="B351" s="361" t="s">
        <v>169</v>
      </c>
      <c r="C351" s="362">
        <v>100</v>
      </c>
      <c r="D351" s="362">
        <v>2.4</v>
      </c>
      <c r="E351" s="421" t="s">
        <v>189</v>
      </c>
      <c r="F351" s="362">
        <v>2.4</v>
      </c>
      <c r="G351" s="362">
        <v>2.4209999999999998</v>
      </c>
      <c r="H351" s="363" t="s">
        <v>170</v>
      </c>
      <c r="I351" s="364">
        <v>12193528</v>
      </c>
      <c r="J351" s="364">
        <v>12120000</v>
      </c>
      <c r="K351" s="364">
        <v>12120000</v>
      </c>
      <c r="L351" s="365">
        <v>3</v>
      </c>
    </row>
    <row r="352" spans="1:12" s="284" customFormat="1" ht="20.399999999999999" x14ac:dyDescent="0.45">
      <c r="A352" s="360" t="s">
        <v>257</v>
      </c>
      <c r="B352" s="361" t="s">
        <v>169</v>
      </c>
      <c r="C352" s="362">
        <v>100</v>
      </c>
      <c r="D352" s="362">
        <v>2.65</v>
      </c>
      <c r="E352" s="421" t="s">
        <v>236</v>
      </c>
      <c r="F352" s="362">
        <v>2.65</v>
      </c>
      <c r="G352" s="362">
        <v>2.6669999999999998</v>
      </c>
      <c r="H352" s="363" t="s">
        <v>170</v>
      </c>
      <c r="I352" s="364">
        <v>20774643.059999999</v>
      </c>
      <c r="J352" s="364">
        <v>20500000</v>
      </c>
      <c r="K352" s="364">
        <v>20500000</v>
      </c>
      <c r="L352" s="365">
        <v>2</v>
      </c>
    </row>
    <row r="353" spans="1:12" s="284" customFormat="1" ht="20.399999999999999" x14ac:dyDescent="0.45">
      <c r="A353" s="360" t="s">
        <v>257</v>
      </c>
      <c r="B353" s="361" t="s">
        <v>169</v>
      </c>
      <c r="C353" s="362">
        <v>100</v>
      </c>
      <c r="D353" s="362">
        <v>3.25</v>
      </c>
      <c r="E353" s="421" t="s">
        <v>271</v>
      </c>
      <c r="F353" s="362">
        <v>3.25</v>
      </c>
      <c r="G353" s="362">
        <v>3.2489999999999997</v>
      </c>
      <c r="H353" s="363" t="s">
        <v>170</v>
      </c>
      <c r="I353" s="364">
        <v>10328611.109999999</v>
      </c>
      <c r="J353" s="364">
        <v>10000000</v>
      </c>
      <c r="K353" s="364">
        <v>10000000</v>
      </c>
      <c r="L353" s="365">
        <v>1</v>
      </c>
    </row>
    <row r="354" spans="1:12" s="284" customFormat="1" ht="20.399999999999999" x14ac:dyDescent="0.45">
      <c r="A354" s="360" t="s">
        <v>261</v>
      </c>
      <c r="B354" s="361" t="s">
        <v>169</v>
      </c>
      <c r="C354" s="362">
        <v>100</v>
      </c>
      <c r="D354" s="362">
        <v>2.7357999999999998</v>
      </c>
      <c r="E354" s="421" t="s">
        <v>249</v>
      </c>
      <c r="F354" s="362">
        <v>2.7357999999999998</v>
      </c>
      <c r="G354" s="362">
        <v>2.7490000000000001</v>
      </c>
      <c r="H354" s="363" t="s">
        <v>170</v>
      </c>
      <c r="I354" s="364">
        <v>5085113.78</v>
      </c>
      <c r="J354" s="364">
        <v>5000000</v>
      </c>
      <c r="K354" s="364">
        <v>5000000</v>
      </c>
      <c r="L354" s="365">
        <v>1</v>
      </c>
    </row>
    <row r="355" spans="1:12" s="284" customFormat="1" ht="20.399999999999999" x14ac:dyDescent="0.45">
      <c r="A355" s="360" t="s">
        <v>261</v>
      </c>
      <c r="B355" s="361" t="s">
        <v>169</v>
      </c>
      <c r="C355" s="362">
        <v>100.82429999999999</v>
      </c>
      <c r="D355" s="362">
        <v>8.75</v>
      </c>
      <c r="E355" s="421" t="s">
        <v>461</v>
      </c>
      <c r="F355" s="362">
        <v>5</v>
      </c>
      <c r="G355" s="362">
        <v>5.0950000000000006</v>
      </c>
      <c r="H355" s="363" t="s">
        <v>170</v>
      </c>
      <c r="I355" s="364">
        <v>4028246.53</v>
      </c>
      <c r="J355" s="364">
        <v>3700000</v>
      </c>
      <c r="K355" s="364">
        <v>3730499.25</v>
      </c>
      <c r="L355" s="365">
        <v>2</v>
      </c>
    </row>
    <row r="356" spans="1:12" s="284" customFormat="1" ht="20.399999999999999" x14ac:dyDescent="0.45">
      <c r="A356" s="360" t="s">
        <v>261</v>
      </c>
      <c r="B356" s="361" t="s">
        <v>169</v>
      </c>
      <c r="C356" s="362">
        <v>100.8434</v>
      </c>
      <c r="D356" s="362">
        <v>8.75</v>
      </c>
      <c r="E356" s="421" t="s">
        <v>188</v>
      </c>
      <c r="F356" s="362">
        <v>5</v>
      </c>
      <c r="G356" s="362">
        <v>5.0940000000000003</v>
      </c>
      <c r="H356" s="363" t="s">
        <v>170</v>
      </c>
      <c r="I356" s="364">
        <v>1415329.86</v>
      </c>
      <c r="J356" s="364">
        <v>1300000</v>
      </c>
      <c r="K356" s="364">
        <v>1310964.29</v>
      </c>
      <c r="L356" s="365">
        <v>3</v>
      </c>
    </row>
    <row r="357" spans="1:12" s="284" customFormat="1" ht="20.399999999999999" x14ac:dyDescent="0.45">
      <c r="A357" s="360" t="s">
        <v>261</v>
      </c>
      <c r="B357" s="361" t="s">
        <v>169</v>
      </c>
      <c r="C357" s="362">
        <v>100.8527</v>
      </c>
      <c r="D357" s="362">
        <v>8.75</v>
      </c>
      <c r="E357" s="421" t="s">
        <v>189</v>
      </c>
      <c r="F357" s="362">
        <v>5</v>
      </c>
      <c r="G357" s="362">
        <v>5.0940000000000003</v>
      </c>
      <c r="H357" s="363" t="s">
        <v>170</v>
      </c>
      <c r="I357" s="364">
        <v>1088958.3400000001</v>
      </c>
      <c r="J357" s="364">
        <v>1000000</v>
      </c>
      <c r="K357" s="364">
        <v>1008526.62</v>
      </c>
      <c r="L357" s="365">
        <v>2</v>
      </c>
    </row>
    <row r="358" spans="1:12" s="284" customFormat="1" ht="20.399999999999999" x14ac:dyDescent="0.45">
      <c r="A358" s="360" t="s">
        <v>261</v>
      </c>
      <c r="B358" s="361" t="s">
        <v>169</v>
      </c>
      <c r="C358" s="362">
        <v>100</v>
      </c>
      <c r="D358" s="362">
        <v>5.75</v>
      </c>
      <c r="E358" s="421" t="s">
        <v>185</v>
      </c>
      <c r="F358" s="362">
        <v>5.75</v>
      </c>
      <c r="G358" s="362">
        <v>5.9029999999999996</v>
      </c>
      <c r="H358" s="363" t="s">
        <v>170</v>
      </c>
      <c r="I358" s="364">
        <v>5023958.33</v>
      </c>
      <c r="J358" s="364">
        <v>5000000</v>
      </c>
      <c r="K358" s="364">
        <v>5000000</v>
      </c>
      <c r="L358" s="365">
        <v>1</v>
      </c>
    </row>
    <row r="359" spans="1:12" s="284" customFormat="1" ht="20.399999999999999" x14ac:dyDescent="0.45">
      <c r="A359" s="360" t="s">
        <v>261</v>
      </c>
      <c r="B359" s="361" t="s">
        <v>169</v>
      </c>
      <c r="C359" s="362">
        <v>100</v>
      </c>
      <c r="D359" s="362">
        <v>6</v>
      </c>
      <c r="E359" s="421" t="s">
        <v>185</v>
      </c>
      <c r="F359" s="362">
        <v>6</v>
      </c>
      <c r="G359" s="362">
        <v>6.1669999999999998</v>
      </c>
      <c r="H359" s="363" t="s">
        <v>170</v>
      </c>
      <c r="I359" s="364">
        <v>5025000</v>
      </c>
      <c r="J359" s="364">
        <v>5000000</v>
      </c>
      <c r="K359" s="364">
        <v>5000000</v>
      </c>
      <c r="L359" s="365">
        <v>1</v>
      </c>
    </row>
    <row r="360" spans="1:12" s="284" customFormat="1" ht="20.399999999999999" x14ac:dyDescent="0.45">
      <c r="A360" s="360" t="s">
        <v>261</v>
      </c>
      <c r="B360" s="361" t="s">
        <v>169</v>
      </c>
      <c r="C360" s="362">
        <v>100.0249</v>
      </c>
      <c r="D360" s="362">
        <v>8.4</v>
      </c>
      <c r="E360" s="421" t="s">
        <v>462</v>
      </c>
      <c r="F360" s="362">
        <v>8</v>
      </c>
      <c r="G360" s="362">
        <v>8.2759999999999998</v>
      </c>
      <c r="H360" s="363" t="s">
        <v>170</v>
      </c>
      <c r="I360" s="364">
        <v>373285.49</v>
      </c>
      <c r="J360" s="364">
        <v>358112.22</v>
      </c>
      <c r="K360" s="364">
        <v>358200.7</v>
      </c>
      <c r="L360" s="365">
        <v>3</v>
      </c>
    </row>
    <row r="361" spans="1:12" s="284" customFormat="1" ht="20.399999999999999" x14ac:dyDescent="0.45">
      <c r="A361" s="360" t="s">
        <v>261</v>
      </c>
      <c r="B361" s="361" t="s">
        <v>169</v>
      </c>
      <c r="C361" s="362">
        <v>99.9983</v>
      </c>
      <c r="D361" s="362">
        <v>8.3000000000000007</v>
      </c>
      <c r="E361" s="421" t="s">
        <v>270</v>
      </c>
      <c r="F361" s="362">
        <v>8.09</v>
      </c>
      <c r="G361" s="362">
        <v>8.1879999999999988</v>
      </c>
      <c r="H361" s="363" t="s">
        <v>170</v>
      </c>
      <c r="I361" s="364">
        <v>24393.58</v>
      </c>
      <c r="J361" s="364">
        <v>22500.13</v>
      </c>
      <c r="K361" s="364">
        <v>22499.74</v>
      </c>
      <c r="L361" s="365">
        <v>1</v>
      </c>
    </row>
    <row r="362" spans="1:12" s="284" customFormat="1" ht="20.399999999999999" x14ac:dyDescent="0.45">
      <c r="A362" s="360" t="s">
        <v>261</v>
      </c>
      <c r="B362" s="361" t="s">
        <v>169</v>
      </c>
      <c r="C362" s="362">
        <v>99.913799999999995</v>
      </c>
      <c r="D362" s="362">
        <v>8.5</v>
      </c>
      <c r="E362" s="421" t="s">
        <v>463</v>
      </c>
      <c r="F362" s="362">
        <v>8.5</v>
      </c>
      <c r="G362" s="362">
        <v>8.8170000000000002</v>
      </c>
      <c r="H362" s="363" t="s">
        <v>170</v>
      </c>
      <c r="I362" s="364">
        <v>108570.83</v>
      </c>
      <c r="J362" s="364">
        <v>100000</v>
      </c>
      <c r="K362" s="364">
        <v>99913.77</v>
      </c>
      <c r="L362" s="365">
        <v>1</v>
      </c>
    </row>
    <row r="363" spans="1:12" s="284" customFormat="1" ht="20.399999999999999" x14ac:dyDescent="0.45">
      <c r="A363" s="360" t="s">
        <v>261</v>
      </c>
      <c r="B363" s="361" t="s">
        <v>169</v>
      </c>
      <c r="C363" s="362">
        <v>99.826099999999997</v>
      </c>
      <c r="D363" s="362">
        <v>8.5</v>
      </c>
      <c r="E363" s="421" t="s">
        <v>464</v>
      </c>
      <c r="F363" s="362">
        <v>8.5</v>
      </c>
      <c r="G363" s="362">
        <v>8.7149999999999999</v>
      </c>
      <c r="H363" s="363" t="s">
        <v>170</v>
      </c>
      <c r="I363" s="364">
        <v>162997.92000000001</v>
      </c>
      <c r="J363" s="364">
        <v>150000</v>
      </c>
      <c r="K363" s="364">
        <v>149739.17000000001</v>
      </c>
      <c r="L363" s="365">
        <v>1</v>
      </c>
    </row>
    <row r="364" spans="1:12" s="284" customFormat="1" ht="20.399999999999999" x14ac:dyDescent="0.45">
      <c r="A364" s="360" t="s">
        <v>261</v>
      </c>
      <c r="B364" s="361" t="s">
        <v>169</v>
      </c>
      <c r="C364" s="362">
        <v>99.824700000000007</v>
      </c>
      <c r="D364" s="362">
        <v>8.5</v>
      </c>
      <c r="E364" s="421" t="s">
        <v>465</v>
      </c>
      <c r="F364" s="362">
        <v>8.5</v>
      </c>
      <c r="G364" s="362">
        <v>8.7050000000000001</v>
      </c>
      <c r="H364" s="363" t="s">
        <v>170</v>
      </c>
      <c r="I364" s="364">
        <v>108618.06</v>
      </c>
      <c r="J364" s="364">
        <v>100000</v>
      </c>
      <c r="K364" s="364">
        <v>99824.69</v>
      </c>
      <c r="L364" s="365">
        <v>1</v>
      </c>
    </row>
    <row r="365" spans="1:12" s="284" customFormat="1" ht="20.399999999999999" x14ac:dyDescent="0.45">
      <c r="A365" s="360" t="s">
        <v>261</v>
      </c>
      <c r="B365" s="361" t="s">
        <v>169</v>
      </c>
      <c r="C365" s="362">
        <v>100.0188</v>
      </c>
      <c r="D365" s="362">
        <v>8.9</v>
      </c>
      <c r="E365" s="421" t="s">
        <v>466</v>
      </c>
      <c r="F365" s="362">
        <v>8.6</v>
      </c>
      <c r="G365" s="362">
        <v>8.7240000000000002</v>
      </c>
      <c r="H365" s="363" t="s">
        <v>170</v>
      </c>
      <c r="I365" s="364">
        <v>665044.03</v>
      </c>
      <c r="J365" s="364">
        <v>610000</v>
      </c>
      <c r="K365" s="364">
        <v>610114.41</v>
      </c>
      <c r="L365" s="365">
        <v>1</v>
      </c>
    </row>
    <row r="366" spans="1:12" s="284" customFormat="1" ht="20.399999999999999" x14ac:dyDescent="0.45">
      <c r="A366" s="360" t="s">
        <v>261</v>
      </c>
      <c r="B366" s="361" t="s">
        <v>169</v>
      </c>
      <c r="C366" s="362">
        <v>99.837000000000003</v>
      </c>
      <c r="D366" s="362">
        <v>8.75</v>
      </c>
      <c r="E366" s="421" t="s">
        <v>467</v>
      </c>
      <c r="F366" s="362">
        <v>8.75</v>
      </c>
      <c r="G366" s="362">
        <v>9.016</v>
      </c>
      <c r="H366" s="363" t="s">
        <v>170</v>
      </c>
      <c r="I366" s="364">
        <v>217743.06</v>
      </c>
      <c r="J366" s="364">
        <v>200000</v>
      </c>
      <c r="K366" s="364">
        <v>199674.08</v>
      </c>
      <c r="L366" s="365">
        <v>1</v>
      </c>
    </row>
    <row r="367" spans="1:12" s="284" customFormat="1" ht="20.399999999999999" x14ac:dyDescent="0.45">
      <c r="A367" s="360" t="s">
        <v>261</v>
      </c>
      <c r="B367" s="361" t="s">
        <v>169</v>
      </c>
      <c r="C367" s="362">
        <v>100.033</v>
      </c>
      <c r="D367" s="362">
        <v>9</v>
      </c>
      <c r="E367" s="421" t="s">
        <v>194</v>
      </c>
      <c r="F367" s="362">
        <v>8.75</v>
      </c>
      <c r="G367" s="362">
        <v>8.8420000000000005</v>
      </c>
      <c r="H367" s="363" t="s">
        <v>170</v>
      </c>
      <c r="I367" s="364">
        <v>1636875</v>
      </c>
      <c r="J367" s="364">
        <v>1500000</v>
      </c>
      <c r="K367" s="364">
        <v>1500495</v>
      </c>
      <c r="L367" s="365">
        <v>1</v>
      </c>
    </row>
    <row r="368" spans="1:12" s="284" customFormat="1" ht="20.399999999999999" x14ac:dyDescent="0.45">
      <c r="A368" s="360" t="s">
        <v>261</v>
      </c>
      <c r="B368" s="361" t="s">
        <v>169</v>
      </c>
      <c r="C368" s="362">
        <v>100</v>
      </c>
      <c r="D368" s="362">
        <v>8.3000000000000007</v>
      </c>
      <c r="E368" s="421" t="s">
        <v>468</v>
      </c>
      <c r="F368" s="362">
        <v>0</v>
      </c>
      <c r="G368" s="362">
        <v>8.6221099999999993</v>
      </c>
      <c r="H368" s="363" t="s">
        <v>178</v>
      </c>
      <c r="I368" s="364">
        <v>300000</v>
      </c>
      <c r="J368" s="364">
        <v>300000</v>
      </c>
      <c r="K368" s="364">
        <v>300000</v>
      </c>
      <c r="L368" s="365">
        <v>3</v>
      </c>
    </row>
    <row r="369" spans="1:12" s="283" customFormat="1" ht="20.399999999999999" x14ac:dyDescent="0.45">
      <c r="A369" s="312" t="s">
        <v>174</v>
      </c>
      <c r="B369" s="366"/>
      <c r="C369" s="367"/>
      <c r="D369" s="367"/>
      <c r="E369" s="422"/>
      <c r="F369" s="367"/>
      <c r="G369" s="367"/>
      <c r="H369" s="368"/>
      <c r="I369" s="369">
        <f>SUM(I344:I368)</f>
        <v>124801791.27</v>
      </c>
      <c r="J369" s="369">
        <f t="shared" ref="J369:K369" si="18">SUM(J344:J368)</f>
        <v>122910612.34999999</v>
      </c>
      <c r="K369" s="369">
        <f t="shared" si="18"/>
        <v>122960451.72</v>
      </c>
      <c r="L369" s="314">
        <f>SUM(L344:L368)</f>
        <v>42</v>
      </c>
    </row>
    <row r="370" spans="1:12" s="283" customFormat="1" ht="20.399999999999999" x14ac:dyDescent="0.45">
      <c r="A370" s="312" t="s">
        <v>263</v>
      </c>
      <c r="B370" s="366"/>
      <c r="C370" s="367"/>
      <c r="D370" s="367"/>
      <c r="E370" s="422"/>
      <c r="F370" s="367"/>
      <c r="G370" s="367"/>
      <c r="H370" s="368"/>
      <c r="I370" s="369"/>
      <c r="J370" s="369"/>
      <c r="K370" s="369"/>
      <c r="L370" s="314"/>
    </row>
    <row r="371" spans="1:12" s="284" customFormat="1" ht="20.399999999999999" x14ac:dyDescent="0.45">
      <c r="A371" s="360" t="s">
        <v>264</v>
      </c>
      <c r="B371" s="361" t="s">
        <v>169</v>
      </c>
      <c r="C371" s="362">
        <v>100</v>
      </c>
      <c r="D371" s="362">
        <v>2.7328000000000001</v>
      </c>
      <c r="E371" s="421" t="s">
        <v>240</v>
      </c>
      <c r="F371" s="362">
        <v>2.7328000000000001</v>
      </c>
      <c r="G371" s="362">
        <v>2.7490000000000001</v>
      </c>
      <c r="H371" s="363" t="s">
        <v>170</v>
      </c>
      <c r="I371" s="364">
        <v>12177632</v>
      </c>
      <c r="J371" s="364">
        <v>12000000</v>
      </c>
      <c r="K371" s="364">
        <v>12000000</v>
      </c>
      <c r="L371" s="365">
        <v>1</v>
      </c>
    </row>
    <row r="372" spans="1:12" s="284" customFormat="1" ht="20.399999999999999" x14ac:dyDescent="0.45">
      <c r="A372" s="360" t="s">
        <v>264</v>
      </c>
      <c r="B372" s="361" t="s">
        <v>169</v>
      </c>
      <c r="C372" s="362">
        <v>100.00060000000001</v>
      </c>
      <c r="D372" s="362">
        <v>7.6</v>
      </c>
      <c r="E372" s="421" t="s">
        <v>469</v>
      </c>
      <c r="F372" s="362">
        <v>7.55</v>
      </c>
      <c r="G372" s="362">
        <v>7.8319999999999999</v>
      </c>
      <c r="H372" s="363" t="s">
        <v>170</v>
      </c>
      <c r="I372" s="364">
        <v>90589</v>
      </c>
      <c r="J372" s="364">
        <v>90000</v>
      </c>
      <c r="K372" s="364">
        <v>90000.5</v>
      </c>
      <c r="L372" s="365">
        <v>1</v>
      </c>
    </row>
    <row r="373" spans="1:12" s="284" customFormat="1" ht="20.399999999999999" x14ac:dyDescent="0.45">
      <c r="A373" s="360" t="s">
        <v>264</v>
      </c>
      <c r="B373" s="361" t="s">
        <v>169</v>
      </c>
      <c r="C373" s="362">
        <v>100</v>
      </c>
      <c r="D373" s="362">
        <v>7.6</v>
      </c>
      <c r="E373" s="421" t="s">
        <v>184</v>
      </c>
      <c r="F373" s="362">
        <v>7.6</v>
      </c>
      <c r="G373" s="362">
        <v>7.8689999999999998</v>
      </c>
      <c r="H373" s="363" t="s">
        <v>170</v>
      </c>
      <c r="I373" s="364">
        <v>90589</v>
      </c>
      <c r="J373" s="364">
        <v>90000</v>
      </c>
      <c r="K373" s="364">
        <v>90000</v>
      </c>
      <c r="L373" s="365">
        <v>1</v>
      </c>
    </row>
    <row r="374" spans="1:12" s="284" customFormat="1" ht="20.399999999999999" x14ac:dyDescent="0.45">
      <c r="A374" s="360" t="s">
        <v>264</v>
      </c>
      <c r="B374" s="361" t="s">
        <v>169</v>
      </c>
      <c r="C374" s="362">
        <v>100</v>
      </c>
      <c r="D374" s="362">
        <v>8.5</v>
      </c>
      <c r="E374" s="421" t="s">
        <v>189</v>
      </c>
      <c r="F374" s="362">
        <v>8.5</v>
      </c>
      <c r="G374" s="362">
        <v>8.7729999999999997</v>
      </c>
      <c r="H374" s="363" t="s">
        <v>170</v>
      </c>
      <c r="I374" s="364">
        <v>107256.04</v>
      </c>
      <c r="J374" s="364">
        <v>105000</v>
      </c>
      <c r="K374" s="364">
        <v>105000</v>
      </c>
      <c r="L374" s="365">
        <v>1</v>
      </c>
    </row>
    <row r="375" spans="1:12" s="284" customFormat="1" ht="20.399999999999999" x14ac:dyDescent="0.45">
      <c r="A375" s="360" t="s">
        <v>264</v>
      </c>
      <c r="B375" s="361" t="s">
        <v>169</v>
      </c>
      <c r="C375" s="362">
        <v>100.00660000000001</v>
      </c>
      <c r="D375" s="362">
        <v>8.8000000000000007</v>
      </c>
      <c r="E375" s="421" t="s">
        <v>461</v>
      </c>
      <c r="F375" s="362">
        <v>8.6999999999999993</v>
      </c>
      <c r="G375" s="362">
        <v>8.99</v>
      </c>
      <c r="H375" s="363" t="s">
        <v>170</v>
      </c>
      <c r="I375" s="364">
        <v>4119288.89</v>
      </c>
      <c r="J375" s="364">
        <v>4000000</v>
      </c>
      <c r="K375" s="364">
        <v>4000265.14</v>
      </c>
      <c r="L375" s="365">
        <v>1</v>
      </c>
    </row>
    <row r="376" spans="1:12" s="284" customFormat="1" ht="20.399999999999999" x14ac:dyDescent="0.45">
      <c r="A376" s="360" t="s">
        <v>264</v>
      </c>
      <c r="B376" s="361" t="s">
        <v>169</v>
      </c>
      <c r="C376" s="362">
        <v>100</v>
      </c>
      <c r="D376" s="362">
        <v>8.75</v>
      </c>
      <c r="E376" s="421" t="s">
        <v>189</v>
      </c>
      <c r="F376" s="362">
        <v>8.75</v>
      </c>
      <c r="G376" s="362">
        <v>9.0399999999999991</v>
      </c>
      <c r="H376" s="363" t="s">
        <v>170</v>
      </c>
      <c r="I376" s="364">
        <v>4599531.25</v>
      </c>
      <c r="J376" s="364">
        <v>4500000</v>
      </c>
      <c r="K376" s="364">
        <v>4500000</v>
      </c>
      <c r="L376" s="365">
        <v>2</v>
      </c>
    </row>
    <row r="377" spans="1:12" s="284" customFormat="1" ht="20.399999999999999" x14ac:dyDescent="0.45">
      <c r="A377" s="360" t="s">
        <v>264</v>
      </c>
      <c r="B377" s="361" t="s">
        <v>169</v>
      </c>
      <c r="C377" s="362">
        <v>100</v>
      </c>
      <c r="D377" s="362">
        <v>9.25</v>
      </c>
      <c r="E377" s="421" t="s">
        <v>244</v>
      </c>
      <c r="F377" s="362">
        <v>9.25</v>
      </c>
      <c r="G377" s="362">
        <v>9.5</v>
      </c>
      <c r="H377" s="363" t="s">
        <v>170</v>
      </c>
      <c r="I377" s="364">
        <v>5192708.33</v>
      </c>
      <c r="J377" s="364">
        <v>5000000</v>
      </c>
      <c r="K377" s="364">
        <v>5000000</v>
      </c>
      <c r="L377" s="365">
        <v>1</v>
      </c>
    </row>
    <row r="378" spans="1:12" s="284" customFormat="1" ht="20.399999999999999" x14ac:dyDescent="0.45">
      <c r="A378" s="360" t="s">
        <v>264</v>
      </c>
      <c r="B378" s="361" t="s">
        <v>169</v>
      </c>
      <c r="C378" s="362">
        <v>100</v>
      </c>
      <c r="D378" s="362">
        <v>9.25</v>
      </c>
      <c r="E378" s="421" t="s">
        <v>196</v>
      </c>
      <c r="F378" s="362">
        <v>9.25</v>
      </c>
      <c r="G378" s="362">
        <v>9.2469999999999999</v>
      </c>
      <c r="H378" s="363" t="s">
        <v>170</v>
      </c>
      <c r="I378" s="364">
        <v>59022.75</v>
      </c>
      <c r="J378" s="364">
        <v>54000</v>
      </c>
      <c r="K378" s="364">
        <v>54000</v>
      </c>
      <c r="L378" s="365">
        <v>1</v>
      </c>
    </row>
    <row r="379" spans="1:12" s="284" customFormat="1" ht="20.399999999999999" x14ac:dyDescent="0.45">
      <c r="A379" s="360" t="s">
        <v>269</v>
      </c>
      <c r="B379" s="361" t="s">
        <v>169</v>
      </c>
      <c r="C379" s="362">
        <v>100.1267</v>
      </c>
      <c r="D379" s="362">
        <v>8</v>
      </c>
      <c r="E379" s="421" t="s">
        <v>253</v>
      </c>
      <c r="F379" s="362">
        <v>5.5</v>
      </c>
      <c r="G379" s="362">
        <v>5.6440000000000001</v>
      </c>
      <c r="H379" s="363" t="s">
        <v>170</v>
      </c>
      <c r="I379" s="364">
        <v>2162222.2200000002</v>
      </c>
      <c r="J379" s="364">
        <v>2000000</v>
      </c>
      <c r="K379" s="364">
        <v>2002534.65</v>
      </c>
      <c r="L379" s="365">
        <v>1</v>
      </c>
    </row>
    <row r="380" spans="1:12" s="284" customFormat="1" ht="20.399999999999999" x14ac:dyDescent="0.45">
      <c r="A380" s="360" t="s">
        <v>269</v>
      </c>
      <c r="B380" s="361" t="s">
        <v>169</v>
      </c>
      <c r="C380" s="362">
        <v>100</v>
      </c>
      <c r="D380" s="362">
        <v>6.5</v>
      </c>
      <c r="E380" s="421" t="s">
        <v>268</v>
      </c>
      <c r="F380" s="362">
        <v>6.5</v>
      </c>
      <c r="G380" s="362">
        <v>6.641</v>
      </c>
      <c r="H380" s="363" t="s">
        <v>170</v>
      </c>
      <c r="I380" s="364">
        <v>510923.61</v>
      </c>
      <c r="J380" s="364">
        <v>500000</v>
      </c>
      <c r="K380" s="364">
        <v>500000</v>
      </c>
      <c r="L380" s="365">
        <v>1</v>
      </c>
    </row>
    <row r="381" spans="1:12" s="284" customFormat="1" ht="20.399999999999999" x14ac:dyDescent="0.45">
      <c r="A381" s="360" t="s">
        <v>269</v>
      </c>
      <c r="B381" s="361" t="s">
        <v>169</v>
      </c>
      <c r="C381" s="362">
        <v>100.0471</v>
      </c>
      <c r="D381" s="362">
        <v>8</v>
      </c>
      <c r="E381" s="421" t="s">
        <v>470</v>
      </c>
      <c r="F381" s="362">
        <v>7.3</v>
      </c>
      <c r="G381" s="362">
        <v>7.5129999999999999</v>
      </c>
      <c r="H381" s="363" t="s">
        <v>170</v>
      </c>
      <c r="I381" s="364">
        <v>113516.67</v>
      </c>
      <c r="J381" s="364">
        <v>105000</v>
      </c>
      <c r="K381" s="364">
        <v>105049.46</v>
      </c>
      <c r="L381" s="365">
        <v>1</v>
      </c>
    </row>
    <row r="382" spans="1:12" s="284" customFormat="1" ht="20.399999999999999" x14ac:dyDescent="0.45">
      <c r="A382" s="360" t="s">
        <v>269</v>
      </c>
      <c r="B382" s="361" t="s">
        <v>169</v>
      </c>
      <c r="C382" s="362">
        <v>100.0288</v>
      </c>
      <c r="D382" s="362">
        <v>8</v>
      </c>
      <c r="E382" s="421" t="s">
        <v>471</v>
      </c>
      <c r="F382" s="362">
        <v>7.75</v>
      </c>
      <c r="G382" s="362">
        <v>7.8469999999999995</v>
      </c>
      <c r="H382" s="363" t="s">
        <v>170</v>
      </c>
      <c r="I382" s="364">
        <v>972200</v>
      </c>
      <c r="J382" s="364">
        <v>900000</v>
      </c>
      <c r="K382" s="364">
        <v>900259.09</v>
      </c>
      <c r="L382" s="365">
        <v>1</v>
      </c>
    </row>
    <row r="383" spans="1:12" s="284" customFormat="1" ht="20.399999999999999" x14ac:dyDescent="0.45">
      <c r="A383" s="360" t="s">
        <v>269</v>
      </c>
      <c r="B383" s="361" t="s">
        <v>169</v>
      </c>
      <c r="C383" s="362">
        <v>100.02119999999999</v>
      </c>
      <c r="D383" s="362">
        <v>8</v>
      </c>
      <c r="E383" s="421" t="s">
        <v>472</v>
      </c>
      <c r="F383" s="362">
        <v>7.85</v>
      </c>
      <c r="G383" s="362">
        <v>7.9079999999999995</v>
      </c>
      <c r="H383" s="363" t="s">
        <v>170</v>
      </c>
      <c r="I383" s="364">
        <v>2052422.22</v>
      </c>
      <c r="J383" s="364">
        <v>1900000</v>
      </c>
      <c r="K383" s="364">
        <v>1900402.77</v>
      </c>
      <c r="L383" s="365">
        <v>1</v>
      </c>
    </row>
    <row r="384" spans="1:12" s="284" customFormat="1" ht="20.399999999999999" x14ac:dyDescent="0.45">
      <c r="A384" s="360" t="s">
        <v>269</v>
      </c>
      <c r="B384" s="361" t="s">
        <v>169</v>
      </c>
      <c r="C384" s="362">
        <v>99.915300000000002</v>
      </c>
      <c r="D384" s="362">
        <v>8</v>
      </c>
      <c r="E384" s="421" t="s">
        <v>473</v>
      </c>
      <c r="F384" s="362">
        <v>7.9</v>
      </c>
      <c r="G384" s="362">
        <v>8.0180000000000007</v>
      </c>
      <c r="H384" s="363" t="s">
        <v>170</v>
      </c>
      <c r="I384" s="364">
        <v>1512311.11</v>
      </c>
      <c r="J384" s="364">
        <v>1400000</v>
      </c>
      <c r="K384" s="364">
        <v>1398814.37</v>
      </c>
      <c r="L384" s="365">
        <v>1</v>
      </c>
    </row>
    <row r="385" spans="1:12" s="284" customFormat="1" ht="20.399999999999999" x14ac:dyDescent="0.45">
      <c r="A385" s="360" t="s">
        <v>269</v>
      </c>
      <c r="B385" s="361" t="s">
        <v>169</v>
      </c>
      <c r="C385" s="362">
        <v>99.886399999999995</v>
      </c>
      <c r="D385" s="362">
        <v>8</v>
      </c>
      <c r="E385" s="421" t="s">
        <v>420</v>
      </c>
      <c r="F385" s="362">
        <v>8</v>
      </c>
      <c r="G385" s="362">
        <v>8.0780000000000012</v>
      </c>
      <c r="H385" s="363" t="s">
        <v>170</v>
      </c>
      <c r="I385" s="364">
        <v>270055.56</v>
      </c>
      <c r="J385" s="364">
        <v>250000</v>
      </c>
      <c r="K385" s="364">
        <v>249715.99</v>
      </c>
      <c r="L385" s="365">
        <v>1</v>
      </c>
    </row>
    <row r="386" spans="1:12" s="284" customFormat="1" ht="20.399999999999999" x14ac:dyDescent="0.45">
      <c r="A386" s="360" t="s">
        <v>269</v>
      </c>
      <c r="B386" s="361" t="s">
        <v>169</v>
      </c>
      <c r="C386" s="362">
        <v>99.898099999999999</v>
      </c>
      <c r="D386" s="362">
        <v>8</v>
      </c>
      <c r="E386" s="421" t="s">
        <v>440</v>
      </c>
      <c r="F386" s="362">
        <v>8</v>
      </c>
      <c r="G386" s="362">
        <v>8.0649999999999995</v>
      </c>
      <c r="H386" s="363" t="s">
        <v>170</v>
      </c>
      <c r="I386" s="364">
        <v>432177.78</v>
      </c>
      <c r="J386" s="364">
        <v>400000</v>
      </c>
      <c r="K386" s="364">
        <v>399592.34</v>
      </c>
      <c r="L386" s="365">
        <v>1</v>
      </c>
    </row>
    <row r="387" spans="1:12" s="284" customFormat="1" ht="20.399999999999999" x14ac:dyDescent="0.45">
      <c r="A387" s="360" t="s">
        <v>269</v>
      </c>
      <c r="B387" s="361" t="s">
        <v>169</v>
      </c>
      <c r="C387" s="362">
        <v>99.903899999999993</v>
      </c>
      <c r="D387" s="362">
        <v>8</v>
      </c>
      <c r="E387" s="421" t="s">
        <v>172</v>
      </c>
      <c r="F387" s="362">
        <v>8</v>
      </c>
      <c r="G387" s="362">
        <v>8.0589999999999993</v>
      </c>
      <c r="H387" s="363" t="s">
        <v>170</v>
      </c>
      <c r="I387" s="364">
        <v>2161333.33</v>
      </c>
      <c r="J387" s="364">
        <v>2000000</v>
      </c>
      <c r="K387" s="364">
        <v>1998077.17</v>
      </c>
      <c r="L387" s="365">
        <v>1</v>
      </c>
    </row>
    <row r="388" spans="1:12" s="284" customFormat="1" ht="20.399999999999999" x14ac:dyDescent="0.45">
      <c r="A388" s="360" t="s">
        <v>269</v>
      </c>
      <c r="B388" s="361" t="s">
        <v>169</v>
      </c>
      <c r="C388" s="362">
        <v>100.1266</v>
      </c>
      <c r="D388" s="362">
        <v>8.3000000000000007</v>
      </c>
      <c r="E388" s="421" t="s">
        <v>474</v>
      </c>
      <c r="F388" s="362">
        <v>8.1</v>
      </c>
      <c r="G388" s="362">
        <v>8.1210000000000004</v>
      </c>
      <c r="H388" s="363" t="s">
        <v>170</v>
      </c>
      <c r="I388" s="364">
        <v>520393.34</v>
      </c>
      <c r="J388" s="364">
        <v>480000</v>
      </c>
      <c r="K388" s="364">
        <v>480607.45</v>
      </c>
      <c r="L388" s="365">
        <v>2</v>
      </c>
    </row>
    <row r="389" spans="1:12" s="284" customFormat="1" ht="20.399999999999999" x14ac:dyDescent="0.45">
      <c r="A389" s="360" t="s">
        <v>269</v>
      </c>
      <c r="B389" s="361" t="s">
        <v>169</v>
      </c>
      <c r="C389" s="362">
        <v>100.03740000000001</v>
      </c>
      <c r="D389" s="362">
        <v>8.3000000000000007</v>
      </c>
      <c r="E389" s="421" t="s">
        <v>171</v>
      </c>
      <c r="F389" s="362">
        <v>8.1999999999999993</v>
      </c>
      <c r="G389" s="362">
        <v>8.2219999999999995</v>
      </c>
      <c r="H389" s="363" t="s">
        <v>170</v>
      </c>
      <c r="I389" s="364">
        <v>390295</v>
      </c>
      <c r="J389" s="364">
        <v>360000</v>
      </c>
      <c r="K389" s="364">
        <v>360134.72</v>
      </c>
      <c r="L389" s="365">
        <v>2</v>
      </c>
    </row>
    <row r="390" spans="1:12" s="284" customFormat="1" ht="20.399999999999999" x14ac:dyDescent="0.45">
      <c r="A390" s="360" t="s">
        <v>269</v>
      </c>
      <c r="B390" s="361" t="s">
        <v>169</v>
      </c>
      <c r="C390" s="362">
        <v>100</v>
      </c>
      <c r="D390" s="362">
        <v>8.3000000000000007</v>
      </c>
      <c r="E390" s="421" t="s">
        <v>274</v>
      </c>
      <c r="F390" s="362">
        <v>8.3000000000000007</v>
      </c>
      <c r="G390" s="362">
        <v>8.2970000000000006</v>
      </c>
      <c r="H390" s="363" t="s">
        <v>170</v>
      </c>
      <c r="I390" s="364">
        <v>1083691.67</v>
      </c>
      <c r="J390" s="364">
        <v>1000000</v>
      </c>
      <c r="K390" s="364">
        <v>1000000</v>
      </c>
      <c r="L390" s="365">
        <v>1</v>
      </c>
    </row>
    <row r="391" spans="1:12" s="284" customFormat="1" ht="20.399999999999999" x14ac:dyDescent="0.45">
      <c r="A391" s="360" t="s">
        <v>269</v>
      </c>
      <c r="B391" s="361" t="s">
        <v>169</v>
      </c>
      <c r="C391" s="362">
        <v>100</v>
      </c>
      <c r="D391" s="362">
        <v>8.5</v>
      </c>
      <c r="E391" s="421" t="s">
        <v>196</v>
      </c>
      <c r="F391" s="362">
        <v>8.5</v>
      </c>
      <c r="G391" s="362">
        <v>8.4979999999999993</v>
      </c>
      <c r="H391" s="363" t="s">
        <v>170</v>
      </c>
      <c r="I391" s="364">
        <v>3256416.66</v>
      </c>
      <c r="J391" s="364">
        <v>3000000</v>
      </c>
      <c r="K391" s="364">
        <v>3000000</v>
      </c>
      <c r="L391" s="365">
        <v>2</v>
      </c>
    </row>
    <row r="392" spans="1:12" s="283" customFormat="1" ht="20.399999999999999" x14ac:dyDescent="0.45">
      <c r="A392" s="312" t="s">
        <v>174</v>
      </c>
      <c r="B392" s="366"/>
      <c r="C392" s="367"/>
      <c r="D392" s="367"/>
      <c r="E392" s="422"/>
      <c r="F392" s="367"/>
      <c r="G392" s="367"/>
      <c r="H392" s="368"/>
      <c r="I392" s="369">
        <f>SUM(I371:I391)</f>
        <v>41874576.430000007</v>
      </c>
      <c r="J392" s="369">
        <f t="shared" ref="J392:K392" si="19">SUM(J371:J391)</f>
        <v>40134000</v>
      </c>
      <c r="K392" s="369">
        <f t="shared" si="19"/>
        <v>40134453.649999999</v>
      </c>
      <c r="L392" s="314">
        <f>SUM(L371:L391)</f>
        <v>25</v>
      </c>
    </row>
    <row r="393" spans="1:12" s="283" customFormat="1" ht="20.399999999999999" x14ac:dyDescent="0.45">
      <c r="A393" s="312" t="s">
        <v>273</v>
      </c>
      <c r="B393" s="366"/>
      <c r="C393" s="367"/>
      <c r="D393" s="367"/>
      <c r="E393" s="422"/>
      <c r="F393" s="367"/>
      <c r="G393" s="367"/>
      <c r="H393" s="368"/>
      <c r="I393" s="369"/>
      <c r="J393" s="369"/>
      <c r="K393" s="369"/>
      <c r="L393" s="314"/>
    </row>
    <row r="394" spans="1:12" s="284" customFormat="1" ht="20.399999999999999" x14ac:dyDescent="0.45">
      <c r="A394" s="360" t="s">
        <v>225</v>
      </c>
      <c r="B394" s="361" t="s">
        <v>169</v>
      </c>
      <c r="C394" s="362">
        <v>100</v>
      </c>
      <c r="D394" s="362">
        <v>2.4769999999999999</v>
      </c>
      <c r="E394" s="421" t="s">
        <v>189</v>
      </c>
      <c r="F394" s="362">
        <v>2.4769999999999999</v>
      </c>
      <c r="G394" s="362">
        <v>2.5</v>
      </c>
      <c r="H394" s="363" t="s">
        <v>170</v>
      </c>
      <c r="I394" s="364">
        <v>3018783.92</v>
      </c>
      <c r="J394" s="364">
        <v>3000000</v>
      </c>
      <c r="K394" s="364">
        <v>3000000</v>
      </c>
      <c r="L394" s="365">
        <v>1</v>
      </c>
    </row>
    <row r="395" spans="1:12" s="284" customFormat="1" ht="20.399999999999999" x14ac:dyDescent="0.45">
      <c r="A395" s="360" t="s">
        <v>225</v>
      </c>
      <c r="B395" s="361" t="s">
        <v>169</v>
      </c>
      <c r="C395" s="362">
        <v>100</v>
      </c>
      <c r="D395" s="362">
        <v>9.5</v>
      </c>
      <c r="E395" s="421" t="s">
        <v>229</v>
      </c>
      <c r="F395" s="362">
        <v>9.5</v>
      </c>
      <c r="G395" s="362">
        <v>9.7240000000000002</v>
      </c>
      <c r="H395" s="363" t="s">
        <v>170</v>
      </c>
      <c r="I395" s="364">
        <v>2860395.42</v>
      </c>
      <c r="J395" s="364">
        <v>2730000</v>
      </c>
      <c r="K395" s="364">
        <v>2730000</v>
      </c>
      <c r="L395" s="365">
        <v>3</v>
      </c>
    </row>
    <row r="396" spans="1:12" s="284" customFormat="1" ht="20.399999999999999" x14ac:dyDescent="0.45">
      <c r="A396" s="360" t="s">
        <v>168</v>
      </c>
      <c r="B396" s="361" t="s">
        <v>169</v>
      </c>
      <c r="C396" s="362">
        <v>100</v>
      </c>
      <c r="D396" s="362">
        <v>2.7328000000000001</v>
      </c>
      <c r="E396" s="421" t="s">
        <v>240</v>
      </c>
      <c r="F396" s="362">
        <v>2.7328000000000001</v>
      </c>
      <c r="G396" s="362">
        <v>2.7490000000000001</v>
      </c>
      <c r="H396" s="363" t="s">
        <v>170</v>
      </c>
      <c r="I396" s="364">
        <v>15222040</v>
      </c>
      <c r="J396" s="364">
        <v>15000000</v>
      </c>
      <c r="K396" s="364">
        <v>15000000</v>
      </c>
      <c r="L396" s="365">
        <v>1</v>
      </c>
    </row>
    <row r="397" spans="1:12" s="284" customFormat="1" ht="20.399999999999999" x14ac:dyDescent="0.45">
      <c r="A397" s="360" t="s">
        <v>168</v>
      </c>
      <c r="B397" s="361" t="s">
        <v>169</v>
      </c>
      <c r="C397" s="362">
        <v>100</v>
      </c>
      <c r="D397" s="362">
        <v>2.7363</v>
      </c>
      <c r="E397" s="421" t="s">
        <v>475</v>
      </c>
      <c r="F397" s="362">
        <v>2.7363</v>
      </c>
      <c r="G397" s="362">
        <v>2.7490000000000001</v>
      </c>
      <c r="H397" s="363" t="s">
        <v>170</v>
      </c>
      <c r="I397" s="364">
        <v>10173299</v>
      </c>
      <c r="J397" s="364">
        <v>10000000</v>
      </c>
      <c r="K397" s="364">
        <v>10000000</v>
      </c>
      <c r="L397" s="365">
        <v>1</v>
      </c>
    </row>
    <row r="398" spans="1:12" s="284" customFormat="1" ht="20.399999999999999" x14ac:dyDescent="0.45">
      <c r="A398" s="360" t="s">
        <v>168</v>
      </c>
      <c r="B398" s="361" t="s">
        <v>169</v>
      </c>
      <c r="C398" s="362">
        <v>100</v>
      </c>
      <c r="D398" s="362">
        <v>6</v>
      </c>
      <c r="E398" s="421" t="s">
        <v>254</v>
      </c>
      <c r="F398" s="362">
        <v>6</v>
      </c>
      <c r="G398" s="362">
        <v>6.1680000000000001</v>
      </c>
      <c r="H398" s="363" t="s">
        <v>170</v>
      </c>
      <c r="I398" s="364">
        <v>10046666.67</v>
      </c>
      <c r="J398" s="364">
        <v>10000000</v>
      </c>
      <c r="K398" s="364">
        <v>10000000</v>
      </c>
      <c r="L398" s="365">
        <v>1</v>
      </c>
    </row>
    <row r="399" spans="1:12" s="284" customFormat="1" ht="20.399999999999999" x14ac:dyDescent="0.45">
      <c r="A399" s="360" t="s">
        <v>193</v>
      </c>
      <c r="B399" s="361" t="s">
        <v>169</v>
      </c>
      <c r="C399" s="362">
        <v>100</v>
      </c>
      <c r="D399" s="362">
        <v>1.9821</v>
      </c>
      <c r="E399" s="421" t="s">
        <v>187</v>
      </c>
      <c r="F399" s="362">
        <v>1.9821</v>
      </c>
      <c r="G399" s="362">
        <v>1.9990000000000001</v>
      </c>
      <c r="H399" s="363" t="s">
        <v>170</v>
      </c>
      <c r="I399" s="364">
        <v>9517783.8399999999</v>
      </c>
      <c r="J399" s="364">
        <v>9500000</v>
      </c>
      <c r="K399" s="364">
        <v>9500000</v>
      </c>
      <c r="L399" s="365">
        <v>2</v>
      </c>
    </row>
    <row r="400" spans="1:12" s="284" customFormat="1" ht="20.399999999999999" x14ac:dyDescent="0.45">
      <c r="A400" s="360" t="s">
        <v>193</v>
      </c>
      <c r="B400" s="361" t="s">
        <v>169</v>
      </c>
      <c r="C400" s="362">
        <v>100</v>
      </c>
      <c r="D400" s="362">
        <v>1.9822</v>
      </c>
      <c r="E400" s="421" t="s">
        <v>258</v>
      </c>
      <c r="F400" s="362">
        <v>1.9822</v>
      </c>
      <c r="G400" s="362">
        <v>2</v>
      </c>
      <c r="H400" s="363" t="s">
        <v>170</v>
      </c>
      <c r="I400" s="364">
        <v>6011562.8300000001</v>
      </c>
      <c r="J400" s="364">
        <v>6000000</v>
      </c>
      <c r="K400" s="364">
        <v>6000000</v>
      </c>
      <c r="L400" s="365">
        <v>1</v>
      </c>
    </row>
    <row r="401" spans="1:12" s="284" customFormat="1" ht="20.399999999999999" x14ac:dyDescent="0.45">
      <c r="A401" s="360" t="s">
        <v>193</v>
      </c>
      <c r="B401" s="361" t="s">
        <v>169</v>
      </c>
      <c r="C401" s="362">
        <v>100</v>
      </c>
      <c r="D401" s="362">
        <v>7.75</v>
      </c>
      <c r="E401" s="421" t="s">
        <v>189</v>
      </c>
      <c r="F401" s="362">
        <v>7.75</v>
      </c>
      <c r="G401" s="362">
        <v>7.9769999999999994</v>
      </c>
      <c r="H401" s="363" t="s">
        <v>170</v>
      </c>
      <c r="I401" s="364">
        <v>25489.759999999998</v>
      </c>
      <c r="J401" s="364">
        <v>25000</v>
      </c>
      <c r="K401" s="364">
        <v>25000</v>
      </c>
      <c r="L401" s="365">
        <v>1</v>
      </c>
    </row>
    <row r="402" spans="1:12" s="284" customFormat="1" ht="20.399999999999999" x14ac:dyDescent="0.45">
      <c r="A402" s="360" t="s">
        <v>193</v>
      </c>
      <c r="B402" s="361" t="s">
        <v>169</v>
      </c>
      <c r="C402" s="362">
        <v>100.0004</v>
      </c>
      <c r="D402" s="362">
        <v>8</v>
      </c>
      <c r="E402" s="421" t="s">
        <v>469</v>
      </c>
      <c r="F402" s="362">
        <v>7.95</v>
      </c>
      <c r="G402" s="362">
        <v>8.2640000000000011</v>
      </c>
      <c r="H402" s="363" t="s">
        <v>170</v>
      </c>
      <c r="I402" s="364">
        <v>60413.33</v>
      </c>
      <c r="J402" s="364">
        <v>60000</v>
      </c>
      <c r="K402" s="364">
        <v>60000.27</v>
      </c>
      <c r="L402" s="365">
        <v>1</v>
      </c>
    </row>
    <row r="403" spans="1:12" s="284" customFormat="1" ht="20.399999999999999" x14ac:dyDescent="0.45">
      <c r="A403" s="360" t="s">
        <v>193</v>
      </c>
      <c r="B403" s="361" t="s">
        <v>169</v>
      </c>
      <c r="C403" s="362">
        <v>100.05200000000001</v>
      </c>
      <c r="D403" s="362">
        <v>8.5</v>
      </c>
      <c r="E403" s="421" t="s">
        <v>259</v>
      </c>
      <c r="F403" s="362">
        <v>8</v>
      </c>
      <c r="G403" s="362">
        <v>8.2889999999999997</v>
      </c>
      <c r="H403" s="363" t="s">
        <v>170</v>
      </c>
      <c r="I403" s="364">
        <v>405855.56</v>
      </c>
      <c r="J403" s="364">
        <v>400000</v>
      </c>
      <c r="K403" s="364">
        <v>400207.82</v>
      </c>
      <c r="L403" s="365">
        <v>2</v>
      </c>
    </row>
    <row r="404" spans="1:12" s="284" customFormat="1" ht="20.399999999999999" x14ac:dyDescent="0.45">
      <c r="A404" s="360" t="s">
        <v>193</v>
      </c>
      <c r="B404" s="361" t="s">
        <v>169</v>
      </c>
      <c r="C404" s="362">
        <v>100.0663</v>
      </c>
      <c r="D404" s="362">
        <v>8.65</v>
      </c>
      <c r="E404" s="421" t="s">
        <v>417</v>
      </c>
      <c r="F404" s="362">
        <v>8.0500000000000007</v>
      </c>
      <c r="G404" s="362">
        <v>8.3369999999999997</v>
      </c>
      <c r="H404" s="363" t="s">
        <v>170</v>
      </c>
      <c r="I404" s="364">
        <v>296410.61</v>
      </c>
      <c r="J404" s="364">
        <v>290000</v>
      </c>
      <c r="K404" s="364">
        <v>290192.19</v>
      </c>
      <c r="L404" s="365">
        <v>1</v>
      </c>
    </row>
    <row r="405" spans="1:12" s="284" customFormat="1" ht="20.399999999999999" x14ac:dyDescent="0.45">
      <c r="A405" s="360" t="s">
        <v>193</v>
      </c>
      <c r="B405" s="361" t="s">
        <v>169</v>
      </c>
      <c r="C405" s="362">
        <v>100.078</v>
      </c>
      <c r="D405" s="362">
        <v>8.65</v>
      </c>
      <c r="E405" s="421" t="s">
        <v>426</v>
      </c>
      <c r="F405" s="362">
        <v>8.0500000000000007</v>
      </c>
      <c r="G405" s="362">
        <v>8.33</v>
      </c>
      <c r="H405" s="363" t="s">
        <v>170</v>
      </c>
      <c r="I405" s="364">
        <v>350307.19</v>
      </c>
      <c r="J405" s="364">
        <v>342730.93</v>
      </c>
      <c r="K405" s="364">
        <v>342998.37</v>
      </c>
      <c r="L405" s="365">
        <v>1</v>
      </c>
    </row>
    <row r="406" spans="1:12" s="284" customFormat="1" ht="20.399999999999999" x14ac:dyDescent="0.45">
      <c r="A406" s="360" t="s">
        <v>193</v>
      </c>
      <c r="B406" s="361" t="s">
        <v>169</v>
      </c>
      <c r="C406" s="362">
        <v>100</v>
      </c>
      <c r="D406" s="362">
        <v>8.75</v>
      </c>
      <c r="E406" s="421" t="s">
        <v>229</v>
      </c>
      <c r="F406" s="362">
        <v>8.75</v>
      </c>
      <c r="G406" s="362">
        <v>8.94</v>
      </c>
      <c r="H406" s="363" t="s">
        <v>170</v>
      </c>
      <c r="I406" s="364">
        <v>417597.22</v>
      </c>
      <c r="J406" s="364">
        <v>400000</v>
      </c>
      <c r="K406" s="364">
        <v>400000</v>
      </c>
      <c r="L406" s="365">
        <v>1</v>
      </c>
    </row>
    <row r="407" spans="1:12" s="284" customFormat="1" ht="20.399999999999999" x14ac:dyDescent="0.45">
      <c r="A407" s="360" t="s">
        <v>276</v>
      </c>
      <c r="B407" s="361" t="s">
        <v>169</v>
      </c>
      <c r="C407" s="362">
        <v>100.2333</v>
      </c>
      <c r="D407" s="362">
        <v>8.75</v>
      </c>
      <c r="E407" s="421" t="s">
        <v>242</v>
      </c>
      <c r="F407" s="362">
        <v>7</v>
      </c>
      <c r="G407" s="362">
        <v>7.2010000000000005</v>
      </c>
      <c r="H407" s="363" t="s">
        <v>170</v>
      </c>
      <c r="I407" s="364">
        <v>1631614.58</v>
      </c>
      <c r="J407" s="364">
        <v>1500000</v>
      </c>
      <c r="K407" s="364">
        <v>1503499.62</v>
      </c>
      <c r="L407" s="365">
        <v>1</v>
      </c>
    </row>
    <row r="408" spans="1:12" s="284" customFormat="1" ht="20.399999999999999" x14ac:dyDescent="0.45">
      <c r="A408" s="360" t="s">
        <v>277</v>
      </c>
      <c r="B408" s="361" t="s">
        <v>169</v>
      </c>
      <c r="C408" s="362">
        <v>99.997699999999995</v>
      </c>
      <c r="D408" s="362">
        <v>8.25</v>
      </c>
      <c r="E408" s="421" t="s">
        <v>476</v>
      </c>
      <c r="F408" s="362">
        <v>8</v>
      </c>
      <c r="G408" s="362">
        <v>8.3000000000000007</v>
      </c>
      <c r="H408" s="363" t="s">
        <v>170</v>
      </c>
      <c r="I408" s="364">
        <v>58219.21</v>
      </c>
      <c r="J408" s="364">
        <v>55900.5</v>
      </c>
      <c r="K408" s="364">
        <v>55899.22</v>
      </c>
      <c r="L408" s="365">
        <v>1</v>
      </c>
    </row>
    <row r="409" spans="1:12" s="284" customFormat="1" ht="20.399999999999999" x14ac:dyDescent="0.45">
      <c r="A409" s="360" t="s">
        <v>173</v>
      </c>
      <c r="B409" s="361" t="s">
        <v>169</v>
      </c>
      <c r="C409" s="362">
        <v>101.18380000000001</v>
      </c>
      <c r="D409" s="362">
        <v>8.8000000000000007</v>
      </c>
      <c r="E409" s="421" t="s">
        <v>477</v>
      </c>
      <c r="F409" s="362">
        <v>2.25</v>
      </c>
      <c r="G409" s="362">
        <v>2.27</v>
      </c>
      <c r="H409" s="363" t="s">
        <v>170</v>
      </c>
      <c r="I409" s="364">
        <v>4354811.13</v>
      </c>
      <c r="J409" s="364">
        <v>4000000</v>
      </c>
      <c r="K409" s="364">
        <v>4047351.39</v>
      </c>
      <c r="L409" s="365">
        <v>2</v>
      </c>
    </row>
    <row r="410" spans="1:12" s="284" customFormat="1" ht="20.399999999999999" x14ac:dyDescent="0.45">
      <c r="A410" s="360" t="s">
        <v>173</v>
      </c>
      <c r="B410" s="361" t="s">
        <v>169</v>
      </c>
      <c r="C410" s="362">
        <v>100</v>
      </c>
      <c r="D410" s="362">
        <v>2.4769999999999999</v>
      </c>
      <c r="E410" s="421" t="s">
        <v>189</v>
      </c>
      <c r="F410" s="362">
        <v>2.4769999999999999</v>
      </c>
      <c r="G410" s="362">
        <v>2.5</v>
      </c>
      <c r="H410" s="363" t="s">
        <v>170</v>
      </c>
      <c r="I410" s="364">
        <v>7546959.79</v>
      </c>
      <c r="J410" s="364">
        <v>7500000</v>
      </c>
      <c r="K410" s="364">
        <v>7500000</v>
      </c>
      <c r="L410" s="365">
        <v>1</v>
      </c>
    </row>
    <row r="411" spans="1:12" s="284" customFormat="1" ht="20.399999999999999" x14ac:dyDescent="0.45">
      <c r="A411" s="360" t="s">
        <v>173</v>
      </c>
      <c r="B411" s="361" t="s">
        <v>169</v>
      </c>
      <c r="C411" s="362">
        <v>100</v>
      </c>
      <c r="D411" s="362">
        <v>2.7368999999999999</v>
      </c>
      <c r="E411" s="421" t="s">
        <v>478</v>
      </c>
      <c r="F411" s="362">
        <v>2.7368999999999999</v>
      </c>
      <c r="G411" s="362">
        <v>2.7490000000000001</v>
      </c>
      <c r="H411" s="363" t="s">
        <v>170</v>
      </c>
      <c r="I411" s="364">
        <v>15266847.75</v>
      </c>
      <c r="J411" s="364">
        <v>15000000</v>
      </c>
      <c r="K411" s="364">
        <v>15000000</v>
      </c>
      <c r="L411" s="365">
        <v>1</v>
      </c>
    </row>
    <row r="412" spans="1:12" s="284" customFormat="1" ht="20.399999999999999" x14ac:dyDescent="0.45">
      <c r="A412" s="360" t="s">
        <v>173</v>
      </c>
      <c r="B412" s="361" t="s">
        <v>169</v>
      </c>
      <c r="C412" s="362">
        <v>100</v>
      </c>
      <c r="D412" s="362">
        <v>2.7393999999999998</v>
      </c>
      <c r="E412" s="421" t="s">
        <v>414</v>
      </c>
      <c r="F412" s="362">
        <v>2.7393999999999998</v>
      </c>
      <c r="G412" s="362">
        <v>2.7490000000000001</v>
      </c>
      <c r="H412" s="363" t="s">
        <v>170</v>
      </c>
      <c r="I412" s="364">
        <v>19373014.969999999</v>
      </c>
      <c r="J412" s="364">
        <v>19000000</v>
      </c>
      <c r="K412" s="364">
        <v>19000000</v>
      </c>
      <c r="L412" s="365">
        <v>1</v>
      </c>
    </row>
    <row r="413" spans="1:12" s="284" customFormat="1" ht="20.399999999999999" x14ac:dyDescent="0.45">
      <c r="A413" s="360" t="s">
        <v>173</v>
      </c>
      <c r="B413" s="361" t="s">
        <v>169</v>
      </c>
      <c r="C413" s="362">
        <v>100.24590000000001</v>
      </c>
      <c r="D413" s="362">
        <v>8.9</v>
      </c>
      <c r="E413" s="421" t="s">
        <v>328</v>
      </c>
      <c r="F413" s="362">
        <v>7</v>
      </c>
      <c r="G413" s="362">
        <v>7.2150000000000007</v>
      </c>
      <c r="H413" s="363" t="s">
        <v>170</v>
      </c>
      <c r="I413" s="364">
        <v>3068975</v>
      </c>
      <c r="J413" s="364">
        <v>3000000</v>
      </c>
      <c r="K413" s="364">
        <v>3007377.12</v>
      </c>
      <c r="L413" s="365">
        <v>1</v>
      </c>
    </row>
    <row r="414" spans="1:12" s="284" customFormat="1" ht="20.399999999999999" x14ac:dyDescent="0.45">
      <c r="A414" s="360" t="s">
        <v>173</v>
      </c>
      <c r="B414" s="361" t="s">
        <v>169</v>
      </c>
      <c r="C414" s="362">
        <v>100</v>
      </c>
      <c r="D414" s="362">
        <v>7.15</v>
      </c>
      <c r="E414" s="421" t="s">
        <v>184</v>
      </c>
      <c r="F414" s="362">
        <v>7.15</v>
      </c>
      <c r="G414" s="362">
        <v>7.3879999999999999</v>
      </c>
      <c r="H414" s="363" t="s">
        <v>170</v>
      </c>
      <c r="I414" s="364">
        <v>1006156.94</v>
      </c>
      <c r="J414" s="364">
        <v>1000000</v>
      </c>
      <c r="K414" s="364">
        <v>1000000</v>
      </c>
      <c r="L414" s="365">
        <v>1</v>
      </c>
    </row>
    <row r="415" spans="1:12" s="284" customFormat="1" ht="20.399999999999999" x14ac:dyDescent="0.45">
      <c r="A415" s="360" t="s">
        <v>173</v>
      </c>
      <c r="B415" s="361" t="s">
        <v>169</v>
      </c>
      <c r="C415" s="362">
        <v>100.1591</v>
      </c>
      <c r="D415" s="362">
        <v>8.8000000000000007</v>
      </c>
      <c r="E415" s="421" t="s">
        <v>470</v>
      </c>
      <c r="F415" s="362">
        <v>7.5</v>
      </c>
      <c r="G415" s="362">
        <v>7.7249999999999996</v>
      </c>
      <c r="H415" s="363" t="s">
        <v>170</v>
      </c>
      <c r="I415" s="364">
        <v>108824.44</v>
      </c>
      <c r="J415" s="364">
        <v>100000</v>
      </c>
      <c r="K415" s="364">
        <v>100159.11</v>
      </c>
      <c r="L415" s="365">
        <v>1</v>
      </c>
    </row>
    <row r="416" spans="1:12" s="284" customFormat="1" ht="20.399999999999999" x14ac:dyDescent="0.45">
      <c r="A416" s="360" t="s">
        <v>173</v>
      </c>
      <c r="B416" s="361" t="s">
        <v>169</v>
      </c>
      <c r="C416" s="362">
        <v>100.11409999999999</v>
      </c>
      <c r="D416" s="362">
        <v>8.8000000000000007</v>
      </c>
      <c r="E416" s="421" t="s">
        <v>265</v>
      </c>
      <c r="F416" s="362">
        <v>7.75</v>
      </c>
      <c r="G416" s="362">
        <v>7.9859999999999998</v>
      </c>
      <c r="H416" s="363" t="s">
        <v>170</v>
      </c>
      <c r="I416" s="364">
        <v>3810566.69</v>
      </c>
      <c r="J416" s="364">
        <v>3500000</v>
      </c>
      <c r="K416" s="364">
        <v>3503992.03</v>
      </c>
      <c r="L416" s="365">
        <v>1</v>
      </c>
    </row>
    <row r="417" spans="1:12" s="284" customFormat="1" ht="20.399999999999999" x14ac:dyDescent="0.45">
      <c r="A417" s="360" t="s">
        <v>173</v>
      </c>
      <c r="B417" s="361" t="s">
        <v>169</v>
      </c>
      <c r="C417" s="362">
        <v>100.4053</v>
      </c>
      <c r="D417" s="362">
        <v>8.99</v>
      </c>
      <c r="E417" s="421" t="s">
        <v>479</v>
      </c>
      <c r="F417" s="362">
        <v>7.95</v>
      </c>
      <c r="G417" s="362">
        <v>8.0810000000000013</v>
      </c>
      <c r="H417" s="363" t="s">
        <v>170</v>
      </c>
      <c r="I417" s="364">
        <v>709246.6</v>
      </c>
      <c r="J417" s="364">
        <v>650000</v>
      </c>
      <c r="K417" s="364">
        <v>652634.27</v>
      </c>
      <c r="L417" s="365">
        <v>1</v>
      </c>
    </row>
    <row r="418" spans="1:12" s="284" customFormat="1" ht="20.399999999999999" x14ac:dyDescent="0.45">
      <c r="A418" s="360" t="s">
        <v>173</v>
      </c>
      <c r="B418" s="361" t="s">
        <v>169</v>
      </c>
      <c r="C418" s="362">
        <v>100.3381</v>
      </c>
      <c r="D418" s="362">
        <v>8.99</v>
      </c>
      <c r="E418" s="421" t="s">
        <v>480</v>
      </c>
      <c r="F418" s="362">
        <v>8</v>
      </c>
      <c r="G418" s="362">
        <v>8.1470000000000002</v>
      </c>
      <c r="H418" s="363" t="s">
        <v>170</v>
      </c>
      <c r="I418" s="364">
        <v>109039.94</v>
      </c>
      <c r="J418" s="364">
        <v>100000</v>
      </c>
      <c r="K418" s="364">
        <v>100338.06</v>
      </c>
      <c r="L418" s="365">
        <v>1</v>
      </c>
    </row>
    <row r="419" spans="1:12" s="284" customFormat="1" ht="20.399999999999999" x14ac:dyDescent="0.45">
      <c r="A419" s="360" t="s">
        <v>173</v>
      </c>
      <c r="B419" s="361" t="s">
        <v>169</v>
      </c>
      <c r="C419" s="362">
        <v>100.17529999999999</v>
      </c>
      <c r="D419" s="362">
        <v>8.99</v>
      </c>
      <c r="E419" s="421" t="s">
        <v>231</v>
      </c>
      <c r="F419" s="362">
        <v>8.25</v>
      </c>
      <c r="G419" s="362">
        <v>8.42</v>
      </c>
      <c r="H419" s="363" t="s">
        <v>170</v>
      </c>
      <c r="I419" s="364">
        <v>1035879.47</v>
      </c>
      <c r="J419" s="364">
        <v>950000</v>
      </c>
      <c r="K419" s="364">
        <v>951665.26</v>
      </c>
      <c r="L419" s="365">
        <v>4</v>
      </c>
    </row>
    <row r="420" spans="1:12" s="284" customFormat="1" ht="20.399999999999999" x14ac:dyDescent="0.45">
      <c r="A420" s="360" t="s">
        <v>173</v>
      </c>
      <c r="B420" s="361" t="s">
        <v>169</v>
      </c>
      <c r="C420" s="362">
        <v>100.1801</v>
      </c>
      <c r="D420" s="362">
        <v>8.99</v>
      </c>
      <c r="E420" s="421" t="s">
        <v>481</v>
      </c>
      <c r="F420" s="362">
        <v>8.25</v>
      </c>
      <c r="G420" s="362">
        <v>8.4169999999999998</v>
      </c>
      <c r="H420" s="363" t="s">
        <v>170</v>
      </c>
      <c r="I420" s="364">
        <v>87251.93</v>
      </c>
      <c r="J420" s="364">
        <v>80000</v>
      </c>
      <c r="K420" s="364">
        <v>80144.08</v>
      </c>
      <c r="L420" s="365">
        <v>1</v>
      </c>
    </row>
    <row r="421" spans="1:12" s="284" customFormat="1" ht="20.399999999999999" x14ac:dyDescent="0.45">
      <c r="A421" s="360" t="s">
        <v>173</v>
      </c>
      <c r="B421" s="361" t="s">
        <v>169</v>
      </c>
      <c r="C421" s="362">
        <v>100.188</v>
      </c>
      <c r="D421" s="362">
        <v>8.99</v>
      </c>
      <c r="E421" s="421" t="s">
        <v>482</v>
      </c>
      <c r="F421" s="362">
        <v>8.25</v>
      </c>
      <c r="G421" s="362">
        <v>8.4130000000000003</v>
      </c>
      <c r="H421" s="363" t="s">
        <v>170</v>
      </c>
      <c r="I421" s="364">
        <v>98158.43</v>
      </c>
      <c r="J421" s="364">
        <v>90000</v>
      </c>
      <c r="K421" s="364">
        <v>90169.19</v>
      </c>
      <c r="L421" s="365">
        <v>1</v>
      </c>
    </row>
    <row r="422" spans="1:12" s="284" customFormat="1" ht="20.399999999999999" x14ac:dyDescent="0.45">
      <c r="A422" s="360" t="s">
        <v>173</v>
      </c>
      <c r="B422" s="361" t="s">
        <v>169</v>
      </c>
      <c r="C422" s="362">
        <v>100.1919</v>
      </c>
      <c r="D422" s="362">
        <v>8.99</v>
      </c>
      <c r="E422" s="421" t="s">
        <v>483</v>
      </c>
      <c r="F422" s="362">
        <v>8.25</v>
      </c>
      <c r="G422" s="362">
        <v>8.41</v>
      </c>
      <c r="H422" s="363" t="s">
        <v>170</v>
      </c>
      <c r="I422" s="364">
        <v>709246.6</v>
      </c>
      <c r="J422" s="364">
        <v>650000</v>
      </c>
      <c r="K422" s="364">
        <v>651247.44999999995</v>
      </c>
      <c r="L422" s="365">
        <v>1</v>
      </c>
    </row>
    <row r="423" spans="1:12" s="284" customFormat="1" ht="20.399999999999999" x14ac:dyDescent="0.45">
      <c r="A423" s="360" t="s">
        <v>173</v>
      </c>
      <c r="B423" s="361" t="s">
        <v>169</v>
      </c>
      <c r="C423" s="362">
        <v>100.37730000000001</v>
      </c>
      <c r="D423" s="362">
        <v>9</v>
      </c>
      <c r="E423" s="421" t="s">
        <v>230</v>
      </c>
      <c r="F423" s="362">
        <v>8.25</v>
      </c>
      <c r="G423" s="362">
        <v>8.3379999999999992</v>
      </c>
      <c r="H423" s="363" t="s">
        <v>170</v>
      </c>
      <c r="I423" s="364">
        <v>818437.5</v>
      </c>
      <c r="J423" s="364">
        <v>750000</v>
      </c>
      <c r="K423" s="364">
        <v>752830.08</v>
      </c>
      <c r="L423" s="365">
        <v>1</v>
      </c>
    </row>
    <row r="424" spans="1:12" s="284" customFormat="1" ht="20.399999999999999" x14ac:dyDescent="0.45">
      <c r="A424" s="360" t="s">
        <v>151</v>
      </c>
      <c r="B424" s="361" t="s">
        <v>169</v>
      </c>
      <c r="C424" s="362">
        <v>100.0078</v>
      </c>
      <c r="D424" s="362">
        <v>8.1</v>
      </c>
      <c r="E424" s="421" t="s">
        <v>423</v>
      </c>
      <c r="F424" s="362">
        <v>7.8</v>
      </c>
      <c r="G424" s="362">
        <v>8.07</v>
      </c>
      <c r="H424" s="363" t="s">
        <v>170</v>
      </c>
      <c r="I424" s="364">
        <v>104095</v>
      </c>
      <c r="J424" s="364">
        <v>100000</v>
      </c>
      <c r="K424" s="364">
        <v>100007.76</v>
      </c>
      <c r="L424" s="365">
        <v>1</v>
      </c>
    </row>
    <row r="425" spans="1:12" s="284" customFormat="1" ht="20.399999999999999" x14ac:dyDescent="0.45">
      <c r="A425" s="360" t="s">
        <v>151</v>
      </c>
      <c r="B425" s="361" t="s">
        <v>169</v>
      </c>
      <c r="C425" s="362">
        <v>100.1082</v>
      </c>
      <c r="D425" s="362">
        <v>9.5</v>
      </c>
      <c r="E425" s="421" t="s">
        <v>171</v>
      </c>
      <c r="F425" s="362">
        <v>9.3000000000000007</v>
      </c>
      <c r="G425" s="362">
        <v>9.3290000000000006</v>
      </c>
      <c r="H425" s="363" t="s">
        <v>170</v>
      </c>
      <c r="I425" s="364">
        <v>197337.5</v>
      </c>
      <c r="J425" s="364">
        <v>180000</v>
      </c>
      <c r="K425" s="364">
        <v>180194.82</v>
      </c>
      <c r="L425" s="365">
        <v>1</v>
      </c>
    </row>
    <row r="426" spans="1:12" s="284" customFormat="1" ht="20.399999999999999" x14ac:dyDescent="0.45">
      <c r="A426" s="360" t="s">
        <v>151</v>
      </c>
      <c r="B426" s="361" t="s">
        <v>169</v>
      </c>
      <c r="C426" s="362">
        <v>100.1228</v>
      </c>
      <c r="D426" s="362">
        <v>9.5</v>
      </c>
      <c r="E426" s="421" t="s">
        <v>484</v>
      </c>
      <c r="F426" s="362">
        <v>9.3000000000000007</v>
      </c>
      <c r="G426" s="362">
        <v>9.3219999999999992</v>
      </c>
      <c r="H426" s="363" t="s">
        <v>170</v>
      </c>
      <c r="I426" s="364">
        <v>167919.6</v>
      </c>
      <c r="J426" s="364">
        <v>153166.67000000001</v>
      </c>
      <c r="K426" s="364">
        <v>153354.81</v>
      </c>
      <c r="L426" s="365">
        <v>1</v>
      </c>
    </row>
    <row r="427" spans="1:12" s="284" customFormat="1" ht="20.399999999999999" x14ac:dyDescent="0.45">
      <c r="A427" s="360" t="s">
        <v>195</v>
      </c>
      <c r="B427" s="361" t="s">
        <v>169</v>
      </c>
      <c r="C427" s="362">
        <v>100</v>
      </c>
      <c r="D427" s="362">
        <v>2.4794999999999998</v>
      </c>
      <c r="E427" s="421" t="s">
        <v>268</v>
      </c>
      <c r="F427" s="362">
        <v>2.4794999999999998</v>
      </c>
      <c r="G427" s="362">
        <v>2.4989999999999997</v>
      </c>
      <c r="H427" s="363" t="s">
        <v>170</v>
      </c>
      <c r="I427" s="364">
        <v>262166.81</v>
      </c>
      <c r="J427" s="364">
        <v>260000</v>
      </c>
      <c r="K427" s="364">
        <v>260000</v>
      </c>
      <c r="L427" s="365">
        <v>1</v>
      </c>
    </row>
    <row r="428" spans="1:12" s="284" customFormat="1" ht="20.399999999999999" x14ac:dyDescent="0.45">
      <c r="A428" s="360" t="s">
        <v>195</v>
      </c>
      <c r="B428" s="361" t="s">
        <v>169</v>
      </c>
      <c r="C428" s="362">
        <v>100.0247</v>
      </c>
      <c r="D428" s="362">
        <v>8.75</v>
      </c>
      <c r="E428" s="421" t="s">
        <v>485</v>
      </c>
      <c r="F428" s="362">
        <v>8</v>
      </c>
      <c r="G428" s="362">
        <v>8.2729999999999997</v>
      </c>
      <c r="H428" s="363" t="s">
        <v>170</v>
      </c>
      <c r="I428" s="364">
        <v>1088472.22</v>
      </c>
      <c r="J428" s="364">
        <v>1000000</v>
      </c>
      <c r="K428" s="364">
        <v>1000246.54</v>
      </c>
      <c r="L428" s="365">
        <v>1</v>
      </c>
    </row>
    <row r="429" spans="1:12" s="284" customFormat="1" ht="20.399999999999999" x14ac:dyDescent="0.45">
      <c r="A429" s="360" t="s">
        <v>195</v>
      </c>
      <c r="B429" s="361" t="s">
        <v>169</v>
      </c>
      <c r="C429" s="362">
        <v>100.02809999999999</v>
      </c>
      <c r="D429" s="362">
        <v>8.75</v>
      </c>
      <c r="E429" s="421" t="s">
        <v>260</v>
      </c>
      <c r="F429" s="362">
        <v>8</v>
      </c>
      <c r="G429" s="362">
        <v>8.2680000000000007</v>
      </c>
      <c r="H429" s="363" t="s">
        <v>170</v>
      </c>
      <c r="I429" s="364">
        <v>528026.91</v>
      </c>
      <c r="J429" s="364">
        <v>485000</v>
      </c>
      <c r="K429" s="364">
        <v>485136.25</v>
      </c>
      <c r="L429" s="365">
        <v>1</v>
      </c>
    </row>
    <row r="430" spans="1:12" s="284" customFormat="1" ht="20.399999999999999" x14ac:dyDescent="0.45">
      <c r="A430" s="360" t="s">
        <v>195</v>
      </c>
      <c r="B430" s="361" t="s">
        <v>169</v>
      </c>
      <c r="C430" s="362">
        <v>100.0454</v>
      </c>
      <c r="D430" s="362">
        <v>8.75</v>
      </c>
      <c r="E430" s="421" t="s">
        <v>265</v>
      </c>
      <c r="F430" s="362">
        <v>8</v>
      </c>
      <c r="G430" s="362">
        <v>8.2509999999999994</v>
      </c>
      <c r="H430" s="363" t="s">
        <v>170</v>
      </c>
      <c r="I430" s="364">
        <v>1631614.58</v>
      </c>
      <c r="J430" s="364">
        <v>1500000</v>
      </c>
      <c r="K430" s="364">
        <v>1500681.48</v>
      </c>
      <c r="L430" s="365">
        <v>1</v>
      </c>
    </row>
    <row r="431" spans="1:12" s="284" customFormat="1" ht="20.399999999999999" x14ac:dyDescent="0.45">
      <c r="A431" s="360" t="s">
        <v>195</v>
      </c>
      <c r="B431" s="361" t="s">
        <v>169</v>
      </c>
      <c r="C431" s="362">
        <v>100</v>
      </c>
      <c r="D431" s="362">
        <v>9.25</v>
      </c>
      <c r="E431" s="421" t="s">
        <v>229</v>
      </c>
      <c r="F431" s="362">
        <v>9.25</v>
      </c>
      <c r="G431" s="362">
        <v>9.4619999999999997</v>
      </c>
      <c r="H431" s="363" t="s">
        <v>170</v>
      </c>
      <c r="I431" s="364">
        <v>1331156.8400000001</v>
      </c>
      <c r="J431" s="364">
        <v>1272000</v>
      </c>
      <c r="K431" s="364">
        <v>1272000</v>
      </c>
      <c r="L431" s="365">
        <v>3</v>
      </c>
    </row>
    <row r="432" spans="1:12" s="284" customFormat="1" ht="20.399999999999999" x14ac:dyDescent="0.45">
      <c r="A432" s="360" t="s">
        <v>195</v>
      </c>
      <c r="B432" s="361" t="s">
        <v>169</v>
      </c>
      <c r="C432" s="362">
        <v>100</v>
      </c>
      <c r="D432" s="362">
        <v>9.75</v>
      </c>
      <c r="E432" s="421" t="s">
        <v>196</v>
      </c>
      <c r="F432" s="362">
        <v>9.75</v>
      </c>
      <c r="G432" s="362">
        <v>9.7469999999999999</v>
      </c>
      <c r="H432" s="363" t="s">
        <v>170</v>
      </c>
      <c r="I432" s="364">
        <v>109804.17</v>
      </c>
      <c r="J432" s="364">
        <v>100000</v>
      </c>
      <c r="K432" s="364">
        <v>100000</v>
      </c>
      <c r="L432" s="365">
        <v>1</v>
      </c>
    </row>
    <row r="433" spans="1:12" s="284" customFormat="1" ht="20.399999999999999" x14ac:dyDescent="0.45">
      <c r="A433" s="360" t="s">
        <v>195</v>
      </c>
      <c r="B433" s="361" t="s">
        <v>169</v>
      </c>
      <c r="C433" s="362">
        <v>100</v>
      </c>
      <c r="D433" s="362">
        <v>9.75</v>
      </c>
      <c r="E433" s="421" t="s">
        <v>177</v>
      </c>
      <c r="F433" s="362">
        <v>9.75</v>
      </c>
      <c r="G433" s="362">
        <v>9.75</v>
      </c>
      <c r="H433" s="363" t="s">
        <v>170</v>
      </c>
      <c r="I433" s="364">
        <v>263790</v>
      </c>
      <c r="J433" s="364">
        <v>240000</v>
      </c>
      <c r="K433" s="364">
        <v>240000</v>
      </c>
      <c r="L433" s="365">
        <v>1</v>
      </c>
    </row>
    <row r="434" spans="1:12" s="284" customFormat="1" ht="20.399999999999999" x14ac:dyDescent="0.45">
      <c r="A434" s="360" t="s">
        <v>486</v>
      </c>
      <c r="B434" s="361" t="s">
        <v>169</v>
      </c>
      <c r="C434" s="362">
        <v>101.52509999999999</v>
      </c>
      <c r="D434" s="362">
        <v>9.75</v>
      </c>
      <c r="E434" s="421" t="s">
        <v>278</v>
      </c>
      <c r="F434" s="362">
        <v>2.25</v>
      </c>
      <c r="G434" s="362">
        <v>2.27</v>
      </c>
      <c r="H434" s="363" t="s">
        <v>170</v>
      </c>
      <c r="I434" s="364">
        <v>2081250</v>
      </c>
      <c r="J434" s="364">
        <v>2000000</v>
      </c>
      <c r="K434" s="364">
        <v>2030501.88</v>
      </c>
      <c r="L434" s="365">
        <v>1</v>
      </c>
    </row>
    <row r="435" spans="1:12" s="284" customFormat="1" ht="20.399999999999999" x14ac:dyDescent="0.45">
      <c r="A435" s="360" t="s">
        <v>486</v>
      </c>
      <c r="B435" s="361" t="s">
        <v>169</v>
      </c>
      <c r="C435" s="362">
        <v>101.6319</v>
      </c>
      <c r="D435" s="362">
        <v>9.6</v>
      </c>
      <c r="E435" s="421" t="s">
        <v>265</v>
      </c>
      <c r="F435" s="362">
        <v>2.25</v>
      </c>
      <c r="G435" s="362">
        <v>2.2689999999999997</v>
      </c>
      <c r="H435" s="363" t="s">
        <v>170</v>
      </c>
      <c r="I435" s="364">
        <v>2097066.68</v>
      </c>
      <c r="J435" s="364">
        <v>2000000</v>
      </c>
      <c r="K435" s="364">
        <v>2032637.08</v>
      </c>
      <c r="L435" s="365">
        <v>2</v>
      </c>
    </row>
    <row r="436" spans="1:12" s="284" customFormat="1" ht="20.399999999999999" x14ac:dyDescent="0.45">
      <c r="A436" s="360" t="s">
        <v>486</v>
      </c>
      <c r="B436" s="361" t="s">
        <v>169</v>
      </c>
      <c r="C436" s="362">
        <v>101.7105</v>
      </c>
      <c r="D436" s="362">
        <v>9.75</v>
      </c>
      <c r="E436" s="421" t="s">
        <v>487</v>
      </c>
      <c r="F436" s="362">
        <v>2.25</v>
      </c>
      <c r="G436" s="362">
        <v>2.2689999999999997</v>
      </c>
      <c r="H436" s="363" t="s">
        <v>170</v>
      </c>
      <c r="I436" s="364">
        <v>2082875</v>
      </c>
      <c r="J436" s="364">
        <v>2000000</v>
      </c>
      <c r="K436" s="364">
        <v>2034209.2</v>
      </c>
      <c r="L436" s="365">
        <v>1</v>
      </c>
    </row>
    <row r="437" spans="1:12" s="284" customFormat="1" ht="20.399999999999999" x14ac:dyDescent="0.45">
      <c r="A437" s="360" t="s">
        <v>486</v>
      </c>
      <c r="B437" s="361" t="s">
        <v>169</v>
      </c>
      <c r="C437" s="362">
        <v>100.0004</v>
      </c>
      <c r="D437" s="362">
        <v>8.6999999999999993</v>
      </c>
      <c r="E437" s="421" t="s">
        <v>488</v>
      </c>
      <c r="F437" s="362">
        <v>8.3000000000000007</v>
      </c>
      <c r="G437" s="362">
        <v>8.48</v>
      </c>
      <c r="H437" s="363" t="s">
        <v>170</v>
      </c>
      <c r="I437" s="364">
        <v>43586.33</v>
      </c>
      <c r="J437" s="364">
        <v>40000</v>
      </c>
      <c r="K437" s="364">
        <v>40000.15</v>
      </c>
      <c r="L437" s="365">
        <v>1</v>
      </c>
    </row>
    <row r="438" spans="1:12" s="284" customFormat="1" ht="20.399999999999999" x14ac:dyDescent="0.45">
      <c r="A438" s="360" t="s">
        <v>489</v>
      </c>
      <c r="B438" s="361" t="s">
        <v>169</v>
      </c>
      <c r="C438" s="362">
        <v>100</v>
      </c>
      <c r="D438" s="362">
        <v>2.7315999999999998</v>
      </c>
      <c r="E438" s="421" t="s">
        <v>236</v>
      </c>
      <c r="F438" s="362">
        <v>2.7315999999999998</v>
      </c>
      <c r="G438" s="362">
        <v>2.75</v>
      </c>
      <c r="H438" s="363" t="s">
        <v>170</v>
      </c>
      <c r="I438" s="364">
        <v>4055239.02</v>
      </c>
      <c r="J438" s="364">
        <v>4000000</v>
      </c>
      <c r="K438" s="364">
        <v>4000000</v>
      </c>
      <c r="L438" s="365">
        <v>1</v>
      </c>
    </row>
    <row r="439" spans="1:12" s="284" customFormat="1" ht="20.399999999999999" x14ac:dyDescent="0.45">
      <c r="A439" s="360" t="s">
        <v>280</v>
      </c>
      <c r="B439" s="361" t="s">
        <v>169</v>
      </c>
      <c r="C439" s="362">
        <v>100</v>
      </c>
      <c r="D439" s="362">
        <v>1.9822</v>
      </c>
      <c r="E439" s="421" t="s">
        <v>258</v>
      </c>
      <c r="F439" s="362">
        <v>1.9822</v>
      </c>
      <c r="G439" s="362">
        <v>2</v>
      </c>
      <c r="H439" s="363" t="s">
        <v>170</v>
      </c>
      <c r="I439" s="364">
        <v>30057814.170000002</v>
      </c>
      <c r="J439" s="364">
        <v>30000000</v>
      </c>
      <c r="K439" s="364">
        <v>30000000</v>
      </c>
      <c r="L439" s="365">
        <v>4</v>
      </c>
    </row>
    <row r="440" spans="1:12" s="284" customFormat="1" ht="20.399999999999999" x14ac:dyDescent="0.45">
      <c r="A440" s="360" t="s">
        <v>280</v>
      </c>
      <c r="B440" s="361" t="s">
        <v>169</v>
      </c>
      <c r="C440" s="362">
        <v>100</v>
      </c>
      <c r="D440" s="362">
        <v>2.4769999999999999</v>
      </c>
      <c r="E440" s="421" t="s">
        <v>189</v>
      </c>
      <c r="F440" s="362">
        <v>2.4769999999999999</v>
      </c>
      <c r="G440" s="362">
        <v>2.5</v>
      </c>
      <c r="H440" s="363" t="s">
        <v>170</v>
      </c>
      <c r="I440" s="364">
        <v>5031306.53</v>
      </c>
      <c r="J440" s="364">
        <v>5000000</v>
      </c>
      <c r="K440" s="364">
        <v>5000000</v>
      </c>
      <c r="L440" s="365">
        <v>1</v>
      </c>
    </row>
    <row r="441" spans="1:12" s="284" customFormat="1" ht="20.399999999999999" x14ac:dyDescent="0.45">
      <c r="A441" s="360" t="s">
        <v>490</v>
      </c>
      <c r="B441" s="361" t="s">
        <v>169</v>
      </c>
      <c r="C441" s="362">
        <v>100</v>
      </c>
      <c r="D441" s="362">
        <v>7.5</v>
      </c>
      <c r="E441" s="421" t="s">
        <v>189</v>
      </c>
      <c r="F441" s="362">
        <v>7.5</v>
      </c>
      <c r="G441" s="362">
        <v>7.7119999999999997</v>
      </c>
      <c r="H441" s="363" t="s">
        <v>170</v>
      </c>
      <c r="I441" s="364">
        <v>407583.33</v>
      </c>
      <c r="J441" s="364">
        <v>400000</v>
      </c>
      <c r="K441" s="364">
        <v>400000</v>
      </c>
      <c r="L441" s="365">
        <v>1</v>
      </c>
    </row>
    <row r="442" spans="1:12" s="284" customFormat="1" ht="20.399999999999999" x14ac:dyDescent="0.45">
      <c r="A442" s="360" t="s">
        <v>490</v>
      </c>
      <c r="B442" s="361" t="s">
        <v>169</v>
      </c>
      <c r="C442" s="362">
        <v>100</v>
      </c>
      <c r="D442" s="362">
        <v>8.25</v>
      </c>
      <c r="E442" s="421" t="s">
        <v>229</v>
      </c>
      <c r="F442" s="362">
        <v>8.25</v>
      </c>
      <c r="G442" s="362">
        <v>8.4190000000000005</v>
      </c>
      <c r="H442" s="363" t="s">
        <v>170</v>
      </c>
      <c r="I442" s="364">
        <v>56141.32</v>
      </c>
      <c r="J442" s="364">
        <v>53905.37</v>
      </c>
      <c r="K442" s="364">
        <v>53905.37</v>
      </c>
      <c r="L442" s="365">
        <v>1</v>
      </c>
    </row>
    <row r="443" spans="1:12" s="284" customFormat="1" ht="20.399999999999999" x14ac:dyDescent="0.45">
      <c r="A443" s="360" t="s">
        <v>491</v>
      </c>
      <c r="B443" s="361" t="s">
        <v>169</v>
      </c>
      <c r="C443" s="362">
        <v>100</v>
      </c>
      <c r="D443" s="362">
        <v>9.8000000000000007</v>
      </c>
      <c r="E443" s="421" t="s">
        <v>229</v>
      </c>
      <c r="F443" s="362">
        <v>9.8000000000000007</v>
      </c>
      <c r="G443" s="362">
        <v>10.038</v>
      </c>
      <c r="H443" s="363" t="s">
        <v>170</v>
      </c>
      <c r="I443" s="364">
        <v>144799.56</v>
      </c>
      <c r="J443" s="364">
        <v>138000</v>
      </c>
      <c r="K443" s="364">
        <v>138000</v>
      </c>
      <c r="L443" s="365">
        <v>2</v>
      </c>
    </row>
    <row r="444" spans="1:12" s="284" customFormat="1" ht="20.399999999999999" x14ac:dyDescent="0.45">
      <c r="A444" s="360" t="s">
        <v>492</v>
      </c>
      <c r="B444" s="361" t="s">
        <v>169</v>
      </c>
      <c r="C444" s="362">
        <v>100</v>
      </c>
      <c r="D444" s="362">
        <v>2.7315999999999998</v>
      </c>
      <c r="E444" s="421" t="s">
        <v>236</v>
      </c>
      <c r="F444" s="362">
        <v>2.7315999999999998</v>
      </c>
      <c r="G444" s="362">
        <v>2.75</v>
      </c>
      <c r="H444" s="363" t="s">
        <v>170</v>
      </c>
      <c r="I444" s="364">
        <v>912428.78</v>
      </c>
      <c r="J444" s="364">
        <v>900000</v>
      </c>
      <c r="K444" s="364">
        <v>900000</v>
      </c>
      <c r="L444" s="365">
        <v>1</v>
      </c>
    </row>
    <row r="445" spans="1:12" s="284" customFormat="1" ht="20.399999999999999" x14ac:dyDescent="0.45">
      <c r="A445" s="360" t="s">
        <v>493</v>
      </c>
      <c r="B445" s="361" t="s">
        <v>169</v>
      </c>
      <c r="C445" s="362">
        <v>100</v>
      </c>
      <c r="D445" s="362">
        <v>8.25</v>
      </c>
      <c r="E445" s="421" t="s">
        <v>189</v>
      </c>
      <c r="F445" s="362">
        <v>8.25</v>
      </c>
      <c r="G445" s="362">
        <v>8.5070000000000014</v>
      </c>
      <c r="H445" s="363" t="s">
        <v>170</v>
      </c>
      <c r="I445" s="364">
        <v>25521.35</v>
      </c>
      <c r="J445" s="364">
        <v>25000</v>
      </c>
      <c r="K445" s="364">
        <v>25000</v>
      </c>
      <c r="L445" s="365">
        <v>1</v>
      </c>
    </row>
    <row r="446" spans="1:12" s="284" customFormat="1" ht="20.399999999999999" x14ac:dyDescent="0.45">
      <c r="A446" s="360" t="s">
        <v>493</v>
      </c>
      <c r="B446" s="361" t="s">
        <v>169</v>
      </c>
      <c r="C446" s="362">
        <v>100</v>
      </c>
      <c r="D446" s="362">
        <v>10</v>
      </c>
      <c r="E446" s="421" t="s">
        <v>272</v>
      </c>
      <c r="F446" s="362">
        <v>10</v>
      </c>
      <c r="G446" s="362">
        <v>10</v>
      </c>
      <c r="H446" s="363" t="s">
        <v>170</v>
      </c>
      <c r="I446" s="364">
        <v>11013.89</v>
      </c>
      <c r="J446" s="364">
        <v>10000</v>
      </c>
      <c r="K446" s="364">
        <v>10000</v>
      </c>
      <c r="L446" s="365">
        <v>1</v>
      </c>
    </row>
    <row r="447" spans="1:12" s="284" customFormat="1" ht="20.399999999999999" x14ac:dyDescent="0.45">
      <c r="A447" s="360" t="s">
        <v>494</v>
      </c>
      <c r="B447" s="361" t="s">
        <v>169</v>
      </c>
      <c r="C447" s="362">
        <v>100</v>
      </c>
      <c r="D447" s="362">
        <v>2.7315999999999998</v>
      </c>
      <c r="E447" s="421" t="s">
        <v>236</v>
      </c>
      <c r="F447" s="362">
        <v>2.7315999999999998</v>
      </c>
      <c r="G447" s="362">
        <v>2.75</v>
      </c>
      <c r="H447" s="363" t="s">
        <v>170</v>
      </c>
      <c r="I447" s="364">
        <v>4055239.02</v>
      </c>
      <c r="J447" s="364">
        <v>4000000</v>
      </c>
      <c r="K447" s="364">
        <v>4000000</v>
      </c>
      <c r="L447" s="365">
        <v>2</v>
      </c>
    </row>
    <row r="448" spans="1:12" s="284" customFormat="1" ht="20.399999999999999" x14ac:dyDescent="0.45">
      <c r="A448" s="360" t="s">
        <v>495</v>
      </c>
      <c r="B448" s="361" t="s">
        <v>169</v>
      </c>
      <c r="C448" s="362">
        <v>100</v>
      </c>
      <c r="D448" s="362">
        <v>8.75</v>
      </c>
      <c r="E448" s="421" t="s">
        <v>268</v>
      </c>
      <c r="F448" s="362">
        <v>8.75</v>
      </c>
      <c r="G448" s="362">
        <v>9.0060000000000002</v>
      </c>
      <c r="H448" s="363" t="s">
        <v>170</v>
      </c>
      <c r="I448" s="364">
        <v>263528.89</v>
      </c>
      <c r="J448" s="364">
        <v>256000</v>
      </c>
      <c r="K448" s="364">
        <v>256000</v>
      </c>
      <c r="L448" s="365">
        <v>2</v>
      </c>
    </row>
    <row r="449" spans="1:12" s="284" customFormat="1" ht="20.399999999999999" x14ac:dyDescent="0.45">
      <c r="A449" s="360" t="s">
        <v>495</v>
      </c>
      <c r="B449" s="361" t="s">
        <v>169</v>
      </c>
      <c r="C449" s="362">
        <v>100</v>
      </c>
      <c r="D449" s="362">
        <v>9</v>
      </c>
      <c r="E449" s="421" t="s">
        <v>229</v>
      </c>
      <c r="F449" s="362">
        <v>9</v>
      </c>
      <c r="G449" s="362">
        <v>9.2009999999999987</v>
      </c>
      <c r="H449" s="363" t="s">
        <v>170</v>
      </c>
      <c r="I449" s="364">
        <v>602064</v>
      </c>
      <c r="J449" s="364">
        <v>576000</v>
      </c>
      <c r="K449" s="364">
        <v>576000</v>
      </c>
      <c r="L449" s="365">
        <v>2</v>
      </c>
    </row>
    <row r="450" spans="1:12" s="284" customFormat="1" ht="20.399999999999999" x14ac:dyDescent="0.45">
      <c r="A450" s="360" t="s">
        <v>495</v>
      </c>
      <c r="B450" s="361" t="s">
        <v>169</v>
      </c>
      <c r="C450" s="362">
        <v>100</v>
      </c>
      <c r="D450" s="362">
        <v>10</v>
      </c>
      <c r="E450" s="421" t="s">
        <v>177</v>
      </c>
      <c r="F450" s="362">
        <v>10</v>
      </c>
      <c r="G450" s="362">
        <v>10</v>
      </c>
      <c r="H450" s="363" t="s">
        <v>170</v>
      </c>
      <c r="I450" s="364">
        <v>699558.33</v>
      </c>
      <c r="J450" s="364">
        <v>635000</v>
      </c>
      <c r="K450" s="364">
        <v>635000</v>
      </c>
      <c r="L450" s="365">
        <v>2</v>
      </c>
    </row>
    <row r="451" spans="1:12" s="283" customFormat="1" ht="20.399999999999999" x14ac:dyDescent="0.45">
      <c r="A451" s="312" t="s">
        <v>174</v>
      </c>
      <c r="B451" s="366"/>
      <c r="C451" s="367"/>
      <c r="D451" s="367"/>
      <c r="E451" s="422"/>
      <c r="F451" s="367"/>
      <c r="G451" s="367"/>
      <c r="H451" s="368"/>
      <c r="I451" s="369">
        <f>SUM(I394:I450)</f>
        <v>176511256.14999998</v>
      </c>
      <c r="J451" s="369">
        <f t="shared" ref="J451:K451" si="20">SUM(J394:J450)</f>
        <v>172997703.47000003</v>
      </c>
      <c r="K451" s="369">
        <f t="shared" si="20"/>
        <v>173168580.87</v>
      </c>
      <c r="L451" s="314">
        <f>SUM(L394:L450)</f>
        <v>76</v>
      </c>
    </row>
    <row r="452" spans="1:12" s="283" customFormat="1" ht="20.399999999999999" x14ac:dyDescent="0.45">
      <c r="A452" s="312" t="s">
        <v>281</v>
      </c>
      <c r="B452" s="366"/>
      <c r="C452" s="367"/>
      <c r="D452" s="367"/>
      <c r="E452" s="422"/>
      <c r="F452" s="367"/>
      <c r="G452" s="367"/>
      <c r="H452" s="368"/>
      <c r="I452" s="369"/>
      <c r="J452" s="369"/>
      <c r="K452" s="369"/>
      <c r="L452" s="314"/>
    </row>
    <row r="453" spans="1:12" s="284" customFormat="1" ht="20.399999999999999" x14ac:dyDescent="0.45">
      <c r="A453" s="360" t="s">
        <v>496</v>
      </c>
      <c r="B453" s="361" t="s">
        <v>169</v>
      </c>
      <c r="C453" s="362">
        <v>97.096199999999996</v>
      </c>
      <c r="D453" s="362">
        <v>9</v>
      </c>
      <c r="E453" s="421" t="s">
        <v>497</v>
      </c>
      <c r="F453" s="362">
        <v>0</v>
      </c>
      <c r="G453" s="362">
        <v>11.73358</v>
      </c>
      <c r="H453" s="363" t="s">
        <v>178</v>
      </c>
      <c r="I453" s="364">
        <v>260000</v>
      </c>
      <c r="J453" s="364">
        <v>260000</v>
      </c>
      <c r="K453" s="364">
        <v>252450.12</v>
      </c>
      <c r="L453" s="365">
        <v>1</v>
      </c>
    </row>
    <row r="454" spans="1:12" s="284" customFormat="1" ht="20.399999999999999" x14ac:dyDescent="0.45">
      <c r="A454" s="360" t="s">
        <v>496</v>
      </c>
      <c r="B454" s="361" t="s">
        <v>169</v>
      </c>
      <c r="C454" s="362">
        <v>96.973200000000006</v>
      </c>
      <c r="D454" s="362">
        <v>9</v>
      </c>
      <c r="E454" s="421" t="s">
        <v>498</v>
      </c>
      <c r="F454" s="362">
        <v>0</v>
      </c>
      <c r="G454" s="362">
        <v>11.733610000000001</v>
      </c>
      <c r="H454" s="363" t="s">
        <v>178</v>
      </c>
      <c r="I454" s="364">
        <v>140000</v>
      </c>
      <c r="J454" s="364">
        <v>140000</v>
      </c>
      <c r="K454" s="364">
        <v>135762.48000000001</v>
      </c>
      <c r="L454" s="365">
        <v>1</v>
      </c>
    </row>
    <row r="455" spans="1:12" s="284" customFormat="1" ht="20.399999999999999" x14ac:dyDescent="0.45">
      <c r="A455" s="360" t="s">
        <v>496</v>
      </c>
      <c r="B455" s="361" t="s">
        <v>169</v>
      </c>
      <c r="C455" s="362">
        <v>96.938800000000001</v>
      </c>
      <c r="D455" s="362">
        <v>9</v>
      </c>
      <c r="E455" s="421" t="s">
        <v>499</v>
      </c>
      <c r="F455" s="362">
        <v>0</v>
      </c>
      <c r="G455" s="362">
        <v>11.733599999999999</v>
      </c>
      <c r="H455" s="363" t="s">
        <v>178</v>
      </c>
      <c r="I455" s="364">
        <v>370000</v>
      </c>
      <c r="J455" s="364">
        <v>370000</v>
      </c>
      <c r="K455" s="364">
        <v>358673.81</v>
      </c>
      <c r="L455" s="365">
        <v>1</v>
      </c>
    </row>
    <row r="456" spans="1:12" s="284" customFormat="1" ht="20.399999999999999" x14ac:dyDescent="0.45">
      <c r="A456" s="360" t="s">
        <v>282</v>
      </c>
      <c r="B456" s="361" t="s">
        <v>169</v>
      </c>
      <c r="C456" s="362">
        <v>99.850300000000004</v>
      </c>
      <c r="D456" s="362">
        <v>9</v>
      </c>
      <c r="E456" s="421" t="s">
        <v>500</v>
      </c>
      <c r="F456" s="362">
        <v>9.15</v>
      </c>
      <c r="G456" s="362">
        <v>9.4687699999999992</v>
      </c>
      <c r="H456" s="363" t="s">
        <v>178</v>
      </c>
      <c r="I456" s="364">
        <v>223000</v>
      </c>
      <c r="J456" s="364">
        <v>285897.43</v>
      </c>
      <c r="K456" s="364">
        <v>222666.28</v>
      </c>
      <c r="L456" s="365">
        <v>1</v>
      </c>
    </row>
    <row r="457" spans="1:12" s="284" customFormat="1" ht="20.399999999999999" x14ac:dyDescent="0.45">
      <c r="A457" s="360" t="s">
        <v>501</v>
      </c>
      <c r="B457" s="361" t="s">
        <v>169</v>
      </c>
      <c r="C457" s="362">
        <v>98.567099999999996</v>
      </c>
      <c r="D457" s="362">
        <v>9</v>
      </c>
      <c r="E457" s="421" t="s">
        <v>502</v>
      </c>
      <c r="F457" s="362">
        <v>10.5</v>
      </c>
      <c r="G457" s="362">
        <v>10.920719999999999</v>
      </c>
      <c r="H457" s="363" t="s">
        <v>178</v>
      </c>
      <c r="I457" s="364">
        <v>10575</v>
      </c>
      <c r="J457" s="364">
        <v>10575</v>
      </c>
      <c r="K457" s="364">
        <v>10423.48</v>
      </c>
      <c r="L457" s="365">
        <v>1</v>
      </c>
    </row>
    <row r="458" spans="1:12" s="284" customFormat="1" ht="20.399999999999999" x14ac:dyDescent="0.45">
      <c r="A458" s="360" t="s">
        <v>284</v>
      </c>
      <c r="B458" s="361" t="s">
        <v>169</v>
      </c>
      <c r="C458" s="362">
        <v>99.8249</v>
      </c>
      <c r="D458" s="362">
        <v>9</v>
      </c>
      <c r="E458" s="421" t="s">
        <v>503</v>
      </c>
      <c r="F458" s="362">
        <v>9.25</v>
      </c>
      <c r="G458" s="362">
        <v>9.6524099999999997</v>
      </c>
      <c r="H458" s="363" t="s">
        <v>178</v>
      </c>
      <c r="I458" s="364">
        <v>255000</v>
      </c>
      <c r="J458" s="364">
        <v>354166.66</v>
      </c>
      <c r="K458" s="364">
        <v>254553.64</v>
      </c>
      <c r="L458" s="365">
        <v>2</v>
      </c>
    </row>
    <row r="459" spans="1:12" s="284" customFormat="1" ht="20.399999999999999" x14ac:dyDescent="0.45">
      <c r="A459" s="360" t="s">
        <v>284</v>
      </c>
      <c r="B459" s="361" t="s">
        <v>169</v>
      </c>
      <c r="C459" s="362">
        <v>98.974999999999994</v>
      </c>
      <c r="D459" s="362">
        <v>9</v>
      </c>
      <c r="E459" s="421" t="s">
        <v>504</v>
      </c>
      <c r="F459" s="362">
        <v>9.85</v>
      </c>
      <c r="G459" s="362">
        <v>10.307079999999999</v>
      </c>
      <c r="H459" s="363" t="s">
        <v>178</v>
      </c>
      <c r="I459" s="364">
        <v>830000</v>
      </c>
      <c r="J459" s="364">
        <v>830000</v>
      </c>
      <c r="K459" s="364">
        <v>821492.99</v>
      </c>
      <c r="L459" s="365">
        <v>2</v>
      </c>
    </row>
    <row r="460" spans="1:12" s="284" customFormat="1" ht="20.399999999999999" x14ac:dyDescent="0.45">
      <c r="A460" s="360" t="s">
        <v>284</v>
      </c>
      <c r="B460" s="361" t="s">
        <v>169</v>
      </c>
      <c r="C460" s="362">
        <v>98.9602</v>
      </c>
      <c r="D460" s="362">
        <v>9</v>
      </c>
      <c r="E460" s="421" t="s">
        <v>505</v>
      </c>
      <c r="F460" s="362">
        <v>9.85</v>
      </c>
      <c r="G460" s="362">
        <v>10.307079999999999</v>
      </c>
      <c r="H460" s="363" t="s">
        <v>178</v>
      </c>
      <c r="I460" s="364">
        <v>160000</v>
      </c>
      <c r="J460" s="364">
        <v>160000</v>
      </c>
      <c r="K460" s="364">
        <v>158336.32999999999</v>
      </c>
      <c r="L460" s="365">
        <v>1</v>
      </c>
    </row>
    <row r="461" spans="1:12" s="283" customFormat="1" ht="20.399999999999999" x14ac:dyDescent="0.45">
      <c r="A461" s="312" t="s">
        <v>174</v>
      </c>
      <c r="B461" s="366"/>
      <c r="C461" s="367"/>
      <c r="D461" s="367"/>
      <c r="E461" s="422"/>
      <c r="F461" s="367"/>
      <c r="G461" s="367"/>
      <c r="H461" s="368"/>
      <c r="I461" s="369">
        <f>SUM(I453:I460)</f>
        <v>2248575</v>
      </c>
      <c r="J461" s="369">
        <f t="shared" ref="J461:K461" si="21">SUM(J453:J460)</f>
        <v>2410639.09</v>
      </c>
      <c r="K461" s="369">
        <f t="shared" si="21"/>
        <v>2214359.13</v>
      </c>
      <c r="L461" s="314">
        <f>SUM(L453:L460)</f>
        <v>10</v>
      </c>
    </row>
    <row r="462" spans="1:12" s="283" customFormat="1" ht="20.399999999999999" x14ac:dyDescent="0.45">
      <c r="A462" s="312" t="s">
        <v>285</v>
      </c>
      <c r="B462" s="366"/>
      <c r="C462" s="367"/>
      <c r="D462" s="367"/>
      <c r="E462" s="422"/>
      <c r="F462" s="367"/>
      <c r="G462" s="367"/>
      <c r="H462" s="368"/>
      <c r="I462" s="369"/>
      <c r="J462" s="369"/>
      <c r="K462" s="369"/>
      <c r="L462" s="314"/>
    </row>
    <row r="463" spans="1:12" s="284" customFormat="1" ht="20.399999999999999" x14ac:dyDescent="0.45">
      <c r="A463" s="360" t="s">
        <v>227</v>
      </c>
      <c r="B463" s="361" t="s">
        <v>169</v>
      </c>
      <c r="C463" s="362">
        <v>97.428899999999999</v>
      </c>
      <c r="D463" s="362"/>
      <c r="E463" s="421" t="s">
        <v>267</v>
      </c>
      <c r="F463" s="362">
        <v>10</v>
      </c>
      <c r="G463" s="362">
        <v>10.373000000000001</v>
      </c>
      <c r="H463" s="363" t="s">
        <v>170</v>
      </c>
      <c r="I463" s="364">
        <v>25861.37</v>
      </c>
      <c r="J463" s="364">
        <v>25861.37</v>
      </c>
      <c r="K463" s="364">
        <v>25196.46</v>
      </c>
      <c r="L463" s="365">
        <v>1</v>
      </c>
    </row>
    <row r="464" spans="1:12" s="284" customFormat="1" ht="20.399999999999999" x14ac:dyDescent="0.45">
      <c r="A464" s="360" t="s">
        <v>227</v>
      </c>
      <c r="B464" s="361" t="s">
        <v>169</v>
      </c>
      <c r="C464" s="362">
        <v>97.428899999999999</v>
      </c>
      <c r="D464" s="362"/>
      <c r="E464" s="421" t="s">
        <v>267</v>
      </c>
      <c r="F464" s="362">
        <v>10</v>
      </c>
      <c r="G464" s="362">
        <v>10.373000000000001</v>
      </c>
      <c r="H464" s="363" t="s">
        <v>170</v>
      </c>
      <c r="I464" s="364">
        <v>59988.32</v>
      </c>
      <c r="J464" s="364">
        <v>59988.32</v>
      </c>
      <c r="K464" s="364">
        <v>58446</v>
      </c>
      <c r="L464" s="365">
        <v>1</v>
      </c>
    </row>
    <row r="465" spans="1:12" s="284" customFormat="1" ht="20.399999999999999" x14ac:dyDescent="0.45">
      <c r="A465" s="360" t="s">
        <v>227</v>
      </c>
      <c r="B465" s="361" t="s">
        <v>169</v>
      </c>
      <c r="C465" s="362">
        <v>97.428899999999999</v>
      </c>
      <c r="D465" s="362"/>
      <c r="E465" s="421" t="s">
        <v>267</v>
      </c>
      <c r="F465" s="362">
        <v>10</v>
      </c>
      <c r="G465" s="362">
        <v>10.373000000000001</v>
      </c>
      <c r="H465" s="363" t="s">
        <v>170</v>
      </c>
      <c r="I465" s="364">
        <v>158671.24</v>
      </c>
      <c r="J465" s="364">
        <v>158671.24</v>
      </c>
      <c r="K465" s="364">
        <v>154591.74</v>
      </c>
      <c r="L465" s="365">
        <v>1</v>
      </c>
    </row>
    <row r="466" spans="1:12" s="284" customFormat="1" ht="20.399999999999999" x14ac:dyDescent="0.45">
      <c r="A466" s="360" t="s">
        <v>227</v>
      </c>
      <c r="B466" s="361" t="s">
        <v>169</v>
      </c>
      <c r="C466" s="362">
        <v>97.428899999999999</v>
      </c>
      <c r="D466" s="362"/>
      <c r="E466" s="421" t="s">
        <v>267</v>
      </c>
      <c r="F466" s="362">
        <v>10</v>
      </c>
      <c r="G466" s="362">
        <v>10.373000000000001</v>
      </c>
      <c r="H466" s="363" t="s">
        <v>170</v>
      </c>
      <c r="I466" s="364">
        <v>256411.68</v>
      </c>
      <c r="J466" s="364">
        <v>256411.68</v>
      </c>
      <c r="K466" s="364">
        <v>249819.23</v>
      </c>
      <c r="L466" s="365">
        <v>1</v>
      </c>
    </row>
    <row r="467" spans="1:12" s="283" customFormat="1" ht="20.399999999999999" x14ac:dyDescent="0.45">
      <c r="A467" s="312" t="s">
        <v>174</v>
      </c>
      <c r="B467" s="366"/>
      <c r="C467" s="367"/>
      <c r="D467" s="367"/>
      <c r="E467" s="422"/>
      <c r="F467" s="367"/>
      <c r="G467" s="367"/>
      <c r="H467" s="368"/>
      <c r="I467" s="369">
        <f>SUM(I463:I466)</f>
        <v>500932.61</v>
      </c>
      <c r="J467" s="369">
        <f t="shared" ref="J467:K467" si="22">SUM(J463:J466)</f>
        <v>500932.61</v>
      </c>
      <c r="K467" s="369">
        <f t="shared" si="22"/>
        <v>488053.43</v>
      </c>
      <c r="L467" s="314">
        <f>SUM(L463:L466)</f>
        <v>4</v>
      </c>
    </row>
    <row r="468" spans="1:12" s="283" customFormat="1" ht="20.399999999999999" x14ac:dyDescent="0.45">
      <c r="A468" s="312" t="s">
        <v>506</v>
      </c>
      <c r="B468" s="366"/>
      <c r="C468" s="367"/>
      <c r="D468" s="367"/>
      <c r="E468" s="422"/>
      <c r="F468" s="367"/>
      <c r="G468" s="367"/>
      <c r="H468" s="368"/>
      <c r="I468" s="369"/>
      <c r="J468" s="369"/>
      <c r="K468" s="369"/>
      <c r="L468" s="314"/>
    </row>
    <row r="469" spans="1:12" s="284" customFormat="1" ht="20.399999999999999" x14ac:dyDescent="0.45">
      <c r="A469" s="360" t="s">
        <v>507</v>
      </c>
      <c r="B469" s="361" t="s">
        <v>169</v>
      </c>
      <c r="C469" s="362">
        <v>99.513400000000004</v>
      </c>
      <c r="D469" s="362"/>
      <c r="E469" s="421" t="s">
        <v>508</v>
      </c>
      <c r="F469" s="362">
        <v>11</v>
      </c>
      <c r="G469" s="362">
        <v>11.597</v>
      </c>
      <c r="H469" s="363" t="s">
        <v>170</v>
      </c>
      <c r="I469" s="364">
        <v>3052.86</v>
      </c>
      <c r="J469" s="364">
        <v>3206</v>
      </c>
      <c r="K469" s="364">
        <v>3038.01</v>
      </c>
      <c r="L469" s="365">
        <v>1</v>
      </c>
    </row>
    <row r="470" spans="1:12" s="283" customFormat="1" ht="20.399999999999999" x14ac:dyDescent="0.45">
      <c r="A470" s="312" t="s">
        <v>174</v>
      </c>
      <c r="B470" s="366"/>
      <c r="C470" s="367"/>
      <c r="D470" s="367"/>
      <c r="E470" s="422"/>
      <c r="F470" s="367"/>
      <c r="G470" s="367"/>
      <c r="H470" s="368"/>
      <c r="I470" s="369">
        <f>SUM(I469:I469)</f>
        <v>3052.86</v>
      </c>
      <c r="J470" s="369">
        <f>SUM(J469:J469)</f>
        <v>3206</v>
      </c>
      <c r="K470" s="369">
        <f>SUM(K469:K469)</f>
        <v>3038.01</v>
      </c>
      <c r="L470" s="314">
        <f>SUM(L469:L469)</f>
        <v>1</v>
      </c>
    </row>
    <row r="471" spans="1:12" s="283" customFormat="1" ht="20.399999999999999" x14ac:dyDescent="0.45">
      <c r="A471" s="312" t="s">
        <v>509</v>
      </c>
      <c r="B471" s="366"/>
      <c r="C471" s="367"/>
      <c r="D471" s="367"/>
      <c r="E471" s="422"/>
      <c r="F471" s="367"/>
      <c r="G471" s="367"/>
      <c r="H471" s="368"/>
      <c r="I471" s="369"/>
      <c r="J471" s="369"/>
      <c r="K471" s="369"/>
      <c r="L471" s="314"/>
    </row>
    <row r="472" spans="1:12" s="284" customFormat="1" ht="20.399999999999999" x14ac:dyDescent="0.45">
      <c r="A472" s="360" t="s">
        <v>147</v>
      </c>
      <c r="B472" s="361" t="s">
        <v>169</v>
      </c>
      <c r="C472" s="362"/>
      <c r="D472" s="362"/>
      <c r="E472" s="423" t="s">
        <v>510</v>
      </c>
      <c r="F472" s="362">
        <v>7.5</v>
      </c>
      <c r="G472" s="362"/>
      <c r="H472" s="363"/>
      <c r="I472" s="364">
        <v>4183.93</v>
      </c>
      <c r="J472" s="364">
        <v>4183.93</v>
      </c>
      <c r="K472" s="364">
        <v>4223.1499999999996</v>
      </c>
      <c r="L472" s="365">
        <v>1</v>
      </c>
    </row>
    <row r="473" spans="1:12" s="284" customFormat="1" ht="20.399999999999999" x14ac:dyDescent="0.45">
      <c r="A473" s="360" t="s">
        <v>15</v>
      </c>
      <c r="B473" s="361" t="s">
        <v>169</v>
      </c>
      <c r="C473" s="362"/>
      <c r="D473" s="362"/>
      <c r="E473" s="423" t="s">
        <v>511</v>
      </c>
      <c r="F473" s="362">
        <v>9.25</v>
      </c>
      <c r="G473" s="362"/>
      <c r="H473" s="363"/>
      <c r="I473" s="364">
        <v>19998</v>
      </c>
      <c r="J473" s="364">
        <v>19998</v>
      </c>
      <c r="K473" s="364">
        <v>20470.73</v>
      </c>
      <c r="L473" s="365">
        <v>1</v>
      </c>
    </row>
    <row r="474" spans="1:12" s="284" customFormat="1" ht="20.399999999999999" x14ac:dyDescent="0.45">
      <c r="A474" s="360" t="s">
        <v>15</v>
      </c>
      <c r="B474" s="361" t="s">
        <v>169</v>
      </c>
      <c r="C474" s="362"/>
      <c r="D474" s="362"/>
      <c r="E474" s="423" t="s">
        <v>512</v>
      </c>
      <c r="F474" s="362">
        <v>10</v>
      </c>
      <c r="G474" s="362"/>
      <c r="H474" s="363"/>
      <c r="I474" s="364">
        <v>10133.75</v>
      </c>
      <c r="J474" s="364">
        <v>10133.75</v>
      </c>
      <c r="K474" s="364">
        <v>10634.81</v>
      </c>
      <c r="L474" s="365">
        <v>1</v>
      </c>
    </row>
    <row r="475" spans="1:12" s="284" customFormat="1" ht="20.399999999999999" x14ac:dyDescent="0.45">
      <c r="A475" s="360" t="s">
        <v>150</v>
      </c>
      <c r="B475" s="361" t="s">
        <v>169</v>
      </c>
      <c r="C475" s="362"/>
      <c r="D475" s="362"/>
      <c r="E475" s="423" t="s">
        <v>513</v>
      </c>
      <c r="F475" s="362">
        <v>7</v>
      </c>
      <c r="G475" s="362"/>
      <c r="H475" s="363"/>
      <c r="I475" s="364">
        <v>50000</v>
      </c>
      <c r="J475" s="364">
        <v>50000</v>
      </c>
      <c r="K475" s="364">
        <v>50340.28</v>
      </c>
      <c r="L475" s="365">
        <v>1</v>
      </c>
    </row>
    <row r="476" spans="1:12" s="284" customFormat="1" ht="20.399999999999999" x14ac:dyDescent="0.45">
      <c r="A476" s="360" t="s">
        <v>150</v>
      </c>
      <c r="B476" s="361" t="s">
        <v>169</v>
      </c>
      <c r="C476" s="362"/>
      <c r="D476" s="362"/>
      <c r="E476" s="423" t="s">
        <v>514</v>
      </c>
      <c r="F476" s="362">
        <v>10</v>
      </c>
      <c r="G476" s="362"/>
      <c r="H476" s="363"/>
      <c r="I476" s="364">
        <v>5669.4</v>
      </c>
      <c r="J476" s="364">
        <v>5669.4</v>
      </c>
      <c r="K476" s="364">
        <v>5922.95</v>
      </c>
      <c r="L476" s="365">
        <v>1</v>
      </c>
    </row>
    <row r="477" spans="1:12" s="284" customFormat="1" ht="20.399999999999999" x14ac:dyDescent="0.45">
      <c r="A477" s="360" t="s">
        <v>150</v>
      </c>
      <c r="B477" s="361" t="s">
        <v>169</v>
      </c>
      <c r="C477" s="362"/>
      <c r="D477" s="362"/>
      <c r="E477" s="423" t="s">
        <v>515</v>
      </c>
      <c r="F477" s="362">
        <v>10</v>
      </c>
      <c r="G477" s="362"/>
      <c r="H477" s="363"/>
      <c r="I477" s="364">
        <v>5057.25</v>
      </c>
      <c r="J477" s="364">
        <v>5057.25</v>
      </c>
      <c r="K477" s="364">
        <v>5303.09</v>
      </c>
      <c r="L477" s="365">
        <v>1</v>
      </c>
    </row>
    <row r="478" spans="1:12" s="284" customFormat="1" ht="20.399999999999999" x14ac:dyDescent="0.45">
      <c r="A478" s="360" t="s">
        <v>150</v>
      </c>
      <c r="B478" s="361" t="s">
        <v>169</v>
      </c>
      <c r="C478" s="362"/>
      <c r="D478" s="362"/>
      <c r="E478" s="423" t="s">
        <v>516</v>
      </c>
      <c r="F478" s="362">
        <v>10</v>
      </c>
      <c r="G478" s="362"/>
      <c r="H478" s="363"/>
      <c r="I478" s="364">
        <v>6096.72</v>
      </c>
      <c r="J478" s="364">
        <v>6096.72</v>
      </c>
      <c r="K478" s="364">
        <v>6394.78</v>
      </c>
      <c r="L478" s="365">
        <v>1</v>
      </c>
    </row>
    <row r="479" spans="1:12" s="284" customFormat="1" ht="20.399999999999999" x14ac:dyDescent="0.45">
      <c r="A479" s="360" t="s">
        <v>150</v>
      </c>
      <c r="B479" s="361" t="s">
        <v>169</v>
      </c>
      <c r="C479" s="362"/>
      <c r="D479" s="362"/>
      <c r="E479" s="423" t="s">
        <v>512</v>
      </c>
      <c r="F479" s="362">
        <v>8.5</v>
      </c>
      <c r="G479" s="362"/>
      <c r="H479" s="363"/>
      <c r="I479" s="364">
        <v>23532.84</v>
      </c>
      <c r="J479" s="364">
        <v>23532.84</v>
      </c>
      <c r="K479" s="364">
        <v>24521.87</v>
      </c>
      <c r="L479" s="365">
        <v>1</v>
      </c>
    </row>
    <row r="480" spans="1:12" s="284" customFormat="1" ht="20.399999999999999" x14ac:dyDescent="0.45">
      <c r="A480" s="360" t="s">
        <v>150</v>
      </c>
      <c r="B480" s="361" t="s">
        <v>169</v>
      </c>
      <c r="C480" s="362"/>
      <c r="D480" s="362"/>
      <c r="E480" s="423" t="s">
        <v>512</v>
      </c>
      <c r="F480" s="362">
        <v>9</v>
      </c>
      <c r="G480" s="362"/>
      <c r="H480" s="363"/>
      <c r="I480" s="364">
        <v>15545</v>
      </c>
      <c r="J480" s="364">
        <v>15545</v>
      </c>
      <c r="K480" s="364">
        <v>16236.75</v>
      </c>
      <c r="L480" s="365">
        <v>1</v>
      </c>
    </row>
    <row r="481" spans="1:12" s="284" customFormat="1" ht="20.399999999999999" x14ac:dyDescent="0.45">
      <c r="A481" s="360" t="s">
        <v>150</v>
      </c>
      <c r="B481" s="361" t="s">
        <v>169</v>
      </c>
      <c r="C481" s="362"/>
      <c r="D481" s="362"/>
      <c r="E481" s="423" t="s">
        <v>517</v>
      </c>
      <c r="F481" s="362">
        <v>10</v>
      </c>
      <c r="G481" s="362"/>
      <c r="H481" s="363"/>
      <c r="I481" s="364">
        <v>5058.0200000000004</v>
      </c>
      <c r="J481" s="364">
        <v>5058.0200000000004</v>
      </c>
      <c r="K481" s="364">
        <v>5309.52</v>
      </c>
      <c r="L481" s="365">
        <v>1</v>
      </c>
    </row>
    <row r="482" spans="1:12" s="284" customFormat="1" ht="20.399999999999999" x14ac:dyDescent="0.45">
      <c r="A482" s="360" t="s">
        <v>150</v>
      </c>
      <c r="B482" s="361" t="s">
        <v>169</v>
      </c>
      <c r="C482" s="362"/>
      <c r="D482" s="362"/>
      <c r="E482" s="423" t="s">
        <v>518</v>
      </c>
      <c r="F482" s="362">
        <v>9</v>
      </c>
      <c r="G482" s="362"/>
      <c r="H482" s="363"/>
      <c r="I482" s="364">
        <v>107050.34</v>
      </c>
      <c r="J482" s="364">
        <v>107050.34</v>
      </c>
      <c r="K482" s="364">
        <v>111867.61</v>
      </c>
      <c r="L482" s="365">
        <v>1</v>
      </c>
    </row>
    <row r="483" spans="1:12" s="284" customFormat="1" ht="20.399999999999999" x14ac:dyDescent="0.45">
      <c r="A483" s="360" t="s">
        <v>150</v>
      </c>
      <c r="B483" s="361" t="s">
        <v>169</v>
      </c>
      <c r="C483" s="362"/>
      <c r="D483" s="362"/>
      <c r="E483" s="423" t="s">
        <v>518</v>
      </c>
      <c r="F483" s="362">
        <v>8.5</v>
      </c>
      <c r="G483" s="362"/>
      <c r="H483" s="363"/>
      <c r="I483" s="364">
        <v>40000</v>
      </c>
      <c r="J483" s="364">
        <v>40000</v>
      </c>
      <c r="K483" s="364">
        <v>41700</v>
      </c>
      <c r="L483" s="365">
        <v>1</v>
      </c>
    </row>
    <row r="484" spans="1:12" s="284" customFormat="1" ht="20.399999999999999" x14ac:dyDescent="0.45">
      <c r="A484" s="360" t="s">
        <v>150</v>
      </c>
      <c r="B484" s="361" t="s">
        <v>169</v>
      </c>
      <c r="C484" s="362"/>
      <c r="D484" s="362"/>
      <c r="E484" s="423" t="s">
        <v>518</v>
      </c>
      <c r="F484" s="362">
        <v>8.5</v>
      </c>
      <c r="G484" s="362"/>
      <c r="H484" s="363"/>
      <c r="I484" s="364">
        <v>21000</v>
      </c>
      <c r="J484" s="364">
        <v>21000</v>
      </c>
      <c r="K484" s="364">
        <v>21892.5</v>
      </c>
      <c r="L484" s="365">
        <v>1</v>
      </c>
    </row>
    <row r="485" spans="1:12" s="284" customFormat="1" ht="20.399999999999999" x14ac:dyDescent="0.45">
      <c r="A485" s="360" t="s">
        <v>150</v>
      </c>
      <c r="B485" s="361" t="s">
        <v>169</v>
      </c>
      <c r="C485" s="362"/>
      <c r="D485" s="362"/>
      <c r="E485" s="423" t="s">
        <v>518</v>
      </c>
      <c r="F485" s="362">
        <v>9.5</v>
      </c>
      <c r="G485" s="362"/>
      <c r="H485" s="363"/>
      <c r="I485" s="364">
        <v>30000</v>
      </c>
      <c r="J485" s="364">
        <v>30000</v>
      </c>
      <c r="K485" s="364">
        <v>31425</v>
      </c>
      <c r="L485" s="365">
        <v>1</v>
      </c>
    </row>
    <row r="486" spans="1:12" s="284" customFormat="1" ht="20.399999999999999" x14ac:dyDescent="0.45">
      <c r="A486" s="360" t="s">
        <v>150</v>
      </c>
      <c r="B486" s="361" t="s">
        <v>169</v>
      </c>
      <c r="C486" s="362"/>
      <c r="D486" s="362"/>
      <c r="E486" s="423" t="s">
        <v>518</v>
      </c>
      <c r="F486" s="362">
        <v>9</v>
      </c>
      <c r="G486" s="362"/>
      <c r="H486" s="363"/>
      <c r="I486" s="364">
        <v>10030.92</v>
      </c>
      <c r="J486" s="364">
        <v>10030.92</v>
      </c>
      <c r="K486" s="364">
        <v>10482.31</v>
      </c>
      <c r="L486" s="365">
        <v>1</v>
      </c>
    </row>
    <row r="487" spans="1:12" s="284" customFormat="1" ht="20.399999999999999" x14ac:dyDescent="0.45">
      <c r="A487" s="360" t="s">
        <v>150</v>
      </c>
      <c r="B487" s="361" t="s">
        <v>169</v>
      </c>
      <c r="C487" s="362"/>
      <c r="D487" s="362"/>
      <c r="E487" s="423" t="s">
        <v>518</v>
      </c>
      <c r="F487" s="362">
        <v>10</v>
      </c>
      <c r="G487" s="362"/>
      <c r="H487" s="363"/>
      <c r="I487" s="364">
        <v>14036.55</v>
      </c>
      <c r="J487" s="364">
        <v>14036.55</v>
      </c>
      <c r="K487" s="364">
        <v>14738.38</v>
      </c>
      <c r="L487" s="365">
        <v>1</v>
      </c>
    </row>
    <row r="488" spans="1:12" s="284" customFormat="1" ht="20.399999999999999" x14ac:dyDescent="0.45">
      <c r="A488" s="360" t="s">
        <v>150</v>
      </c>
      <c r="B488" s="361" t="s">
        <v>169</v>
      </c>
      <c r="C488" s="362"/>
      <c r="D488" s="362"/>
      <c r="E488" s="423" t="s">
        <v>518</v>
      </c>
      <c r="F488" s="362">
        <v>8</v>
      </c>
      <c r="G488" s="362"/>
      <c r="H488" s="363"/>
      <c r="I488" s="364">
        <v>28100</v>
      </c>
      <c r="J488" s="364">
        <v>28100</v>
      </c>
      <c r="K488" s="364">
        <v>29224</v>
      </c>
      <c r="L488" s="365">
        <v>1</v>
      </c>
    </row>
    <row r="489" spans="1:12" s="284" customFormat="1" ht="20.399999999999999" x14ac:dyDescent="0.45">
      <c r="A489" s="360" t="s">
        <v>156</v>
      </c>
      <c r="B489" s="361" t="s">
        <v>169</v>
      </c>
      <c r="C489" s="362"/>
      <c r="D489" s="362"/>
      <c r="E489" s="423" t="s">
        <v>519</v>
      </c>
      <c r="F489" s="362">
        <v>8</v>
      </c>
      <c r="G489" s="362"/>
      <c r="H489" s="363"/>
      <c r="I489" s="364">
        <v>82704</v>
      </c>
      <c r="J489" s="364">
        <v>82704</v>
      </c>
      <c r="K489" s="364">
        <v>82887.789999999994</v>
      </c>
      <c r="L489" s="365">
        <v>1</v>
      </c>
    </row>
    <row r="490" spans="1:12" s="284" customFormat="1" ht="20.399999999999999" x14ac:dyDescent="0.45">
      <c r="A490" s="360" t="s">
        <v>156</v>
      </c>
      <c r="B490" s="361" t="s">
        <v>169</v>
      </c>
      <c r="C490" s="362"/>
      <c r="D490" s="362"/>
      <c r="E490" s="423" t="s">
        <v>520</v>
      </c>
      <c r="F490" s="362">
        <v>7.09</v>
      </c>
      <c r="G490" s="362"/>
      <c r="H490" s="363"/>
      <c r="I490" s="364">
        <v>75000</v>
      </c>
      <c r="J490" s="364">
        <v>75000</v>
      </c>
      <c r="K490" s="364">
        <v>75177.25</v>
      </c>
      <c r="L490" s="365">
        <v>1</v>
      </c>
    </row>
    <row r="491" spans="1:12" s="284" customFormat="1" ht="20.399999999999999" x14ac:dyDescent="0.45">
      <c r="A491" s="360" t="s">
        <v>156</v>
      </c>
      <c r="B491" s="361" t="s">
        <v>169</v>
      </c>
      <c r="C491" s="362"/>
      <c r="D491" s="362"/>
      <c r="E491" s="423" t="s">
        <v>520</v>
      </c>
      <c r="F491" s="362">
        <v>8</v>
      </c>
      <c r="G491" s="362"/>
      <c r="H491" s="363"/>
      <c r="I491" s="364">
        <v>17508</v>
      </c>
      <c r="J491" s="364">
        <v>17508</v>
      </c>
      <c r="K491" s="364">
        <v>17554.689999999999</v>
      </c>
      <c r="L491" s="365">
        <v>1</v>
      </c>
    </row>
    <row r="492" spans="1:12" s="284" customFormat="1" ht="20.399999999999999" x14ac:dyDescent="0.45">
      <c r="A492" s="360" t="s">
        <v>156</v>
      </c>
      <c r="B492" s="361" t="s">
        <v>169</v>
      </c>
      <c r="C492" s="362"/>
      <c r="D492" s="362"/>
      <c r="E492" s="423" t="s">
        <v>521</v>
      </c>
      <c r="F492" s="362">
        <v>7.09</v>
      </c>
      <c r="G492" s="362"/>
      <c r="H492" s="363"/>
      <c r="I492" s="364">
        <v>66864</v>
      </c>
      <c r="J492" s="364">
        <v>66864</v>
      </c>
      <c r="K492" s="364">
        <v>67048.36</v>
      </c>
      <c r="L492" s="365">
        <v>1</v>
      </c>
    </row>
    <row r="493" spans="1:12" s="284" customFormat="1" ht="20.399999999999999" x14ac:dyDescent="0.45">
      <c r="A493" s="360" t="s">
        <v>156</v>
      </c>
      <c r="B493" s="361" t="s">
        <v>169</v>
      </c>
      <c r="C493" s="362"/>
      <c r="D493" s="362"/>
      <c r="E493" s="423" t="s">
        <v>522</v>
      </c>
      <c r="F493" s="362">
        <v>8</v>
      </c>
      <c r="G493" s="362"/>
      <c r="H493" s="363"/>
      <c r="I493" s="364">
        <v>84554</v>
      </c>
      <c r="J493" s="364">
        <v>84554</v>
      </c>
      <c r="K493" s="364">
        <v>84835.85</v>
      </c>
      <c r="L493" s="365">
        <v>1</v>
      </c>
    </row>
    <row r="494" spans="1:12" s="284" customFormat="1" ht="20.399999999999999" x14ac:dyDescent="0.45">
      <c r="A494" s="360" t="s">
        <v>156</v>
      </c>
      <c r="B494" s="361" t="s">
        <v>169</v>
      </c>
      <c r="C494" s="362"/>
      <c r="D494" s="362"/>
      <c r="E494" s="423" t="s">
        <v>522</v>
      </c>
      <c r="F494" s="362">
        <v>8</v>
      </c>
      <c r="G494" s="362"/>
      <c r="H494" s="363"/>
      <c r="I494" s="364">
        <v>34054</v>
      </c>
      <c r="J494" s="364">
        <v>34054</v>
      </c>
      <c r="K494" s="364">
        <v>34167.51</v>
      </c>
      <c r="L494" s="365">
        <v>1</v>
      </c>
    </row>
    <row r="495" spans="1:12" s="284" customFormat="1" ht="20.399999999999999" x14ac:dyDescent="0.45">
      <c r="A495" s="360" t="s">
        <v>156</v>
      </c>
      <c r="B495" s="361" t="s">
        <v>169</v>
      </c>
      <c r="C495" s="362"/>
      <c r="D495" s="362"/>
      <c r="E495" s="423" t="s">
        <v>522</v>
      </c>
      <c r="F495" s="362">
        <v>8</v>
      </c>
      <c r="G495" s="362"/>
      <c r="H495" s="363"/>
      <c r="I495" s="364">
        <v>84504</v>
      </c>
      <c r="J495" s="364">
        <v>84504</v>
      </c>
      <c r="K495" s="364">
        <v>84785.68</v>
      </c>
      <c r="L495" s="365">
        <v>1</v>
      </c>
    </row>
    <row r="496" spans="1:12" s="284" customFormat="1" ht="20.399999999999999" x14ac:dyDescent="0.45">
      <c r="A496" s="360" t="s">
        <v>156</v>
      </c>
      <c r="B496" s="361" t="s">
        <v>169</v>
      </c>
      <c r="C496" s="362"/>
      <c r="D496" s="362"/>
      <c r="E496" s="423" t="s">
        <v>523</v>
      </c>
      <c r="F496" s="362">
        <v>7.09</v>
      </c>
      <c r="G496" s="362"/>
      <c r="H496" s="363"/>
      <c r="I496" s="364">
        <v>20754</v>
      </c>
      <c r="J496" s="364">
        <v>20754</v>
      </c>
      <c r="K496" s="364">
        <v>20827.57</v>
      </c>
      <c r="L496" s="365">
        <v>1</v>
      </c>
    </row>
    <row r="497" spans="1:12" s="284" customFormat="1" ht="20.399999999999999" x14ac:dyDescent="0.45">
      <c r="A497" s="360" t="s">
        <v>156</v>
      </c>
      <c r="B497" s="361" t="s">
        <v>169</v>
      </c>
      <c r="C497" s="362"/>
      <c r="D497" s="362"/>
      <c r="E497" s="423" t="s">
        <v>524</v>
      </c>
      <c r="F497" s="362">
        <v>10</v>
      </c>
      <c r="G497" s="362"/>
      <c r="H497" s="363"/>
      <c r="I497" s="364">
        <v>11038.68</v>
      </c>
      <c r="J497" s="364">
        <v>11038.68</v>
      </c>
      <c r="K497" s="364">
        <v>11277.85</v>
      </c>
      <c r="L497" s="365">
        <v>1</v>
      </c>
    </row>
    <row r="498" spans="1:12" s="284" customFormat="1" ht="20.399999999999999" x14ac:dyDescent="0.45">
      <c r="A498" s="360" t="s">
        <v>156</v>
      </c>
      <c r="B498" s="361" t="s">
        <v>169</v>
      </c>
      <c r="C498" s="362"/>
      <c r="D498" s="362"/>
      <c r="E498" s="423" t="s">
        <v>525</v>
      </c>
      <c r="F498" s="362">
        <v>8</v>
      </c>
      <c r="G498" s="362"/>
      <c r="H498" s="363"/>
      <c r="I498" s="364">
        <v>3690.42</v>
      </c>
      <c r="J498" s="364">
        <v>3690.42</v>
      </c>
      <c r="K498" s="364">
        <v>3819.99</v>
      </c>
      <c r="L498" s="365">
        <v>1</v>
      </c>
    </row>
    <row r="499" spans="1:12" s="284" customFormat="1" ht="20.399999999999999" x14ac:dyDescent="0.45">
      <c r="A499" s="360" t="s">
        <v>156</v>
      </c>
      <c r="B499" s="361" t="s">
        <v>169</v>
      </c>
      <c r="C499" s="362"/>
      <c r="D499" s="362"/>
      <c r="E499" s="423" t="s">
        <v>525</v>
      </c>
      <c r="F499" s="362">
        <v>8</v>
      </c>
      <c r="G499" s="362"/>
      <c r="H499" s="363"/>
      <c r="I499" s="364">
        <v>52225</v>
      </c>
      <c r="J499" s="364">
        <v>52225</v>
      </c>
      <c r="K499" s="364">
        <v>54058.68</v>
      </c>
      <c r="L499" s="365">
        <v>1</v>
      </c>
    </row>
    <row r="500" spans="1:12" s="284" customFormat="1" ht="20.399999999999999" x14ac:dyDescent="0.45">
      <c r="A500" s="360" t="s">
        <v>156</v>
      </c>
      <c r="B500" s="361" t="s">
        <v>169</v>
      </c>
      <c r="C500" s="362"/>
      <c r="D500" s="362"/>
      <c r="E500" s="423" t="s">
        <v>518</v>
      </c>
      <c r="F500" s="362">
        <v>6</v>
      </c>
      <c r="G500" s="362"/>
      <c r="H500" s="363"/>
      <c r="I500" s="364">
        <v>51450</v>
      </c>
      <c r="J500" s="364">
        <v>51450</v>
      </c>
      <c r="K500" s="364">
        <v>52993.5</v>
      </c>
      <c r="L500" s="365">
        <v>1</v>
      </c>
    </row>
    <row r="501" spans="1:12" s="284" customFormat="1" ht="20.399999999999999" x14ac:dyDescent="0.45">
      <c r="A501" s="360" t="s">
        <v>151</v>
      </c>
      <c r="B501" s="361" t="s">
        <v>169</v>
      </c>
      <c r="C501" s="362"/>
      <c r="D501" s="362"/>
      <c r="E501" s="423" t="s">
        <v>526</v>
      </c>
      <c r="F501" s="362">
        <v>7.5</v>
      </c>
      <c r="G501" s="362"/>
      <c r="H501" s="363"/>
      <c r="I501" s="364">
        <v>28173.43</v>
      </c>
      <c r="J501" s="364">
        <v>28173.43</v>
      </c>
      <c r="K501" s="364">
        <v>28408.21</v>
      </c>
      <c r="L501" s="365">
        <v>1</v>
      </c>
    </row>
    <row r="502" spans="1:12" s="284" customFormat="1" ht="20.399999999999999" x14ac:dyDescent="0.45">
      <c r="A502" s="360" t="s">
        <v>151</v>
      </c>
      <c r="B502" s="361" t="s">
        <v>169</v>
      </c>
      <c r="C502" s="362"/>
      <c r="D502" s="362"/>
      <c r="E502" s="423" t="s">
        <v>526</v>
      </c>
      <c r="F502" s="362">
        <v>7.5</v>
      </c>
      <c r="G502" s="362"/>
      <c r="H502" s="363"/>
      <c r="I502" s="364">
        <v>35380.36</v>
      </c>
      <c r="J502" s="364">
        <v>35380.36</v>
      </c>
      <c r="K502" s="364">
        <v>35675.199999999997</v>
      </c>
      <c r="L502" s="365">
        <v>1</v>
      </c>
    </row>
    <row r="503" spans="1:12" s="284" customFormat="1" ht="20.399999999999999" x14ac:dyDescent="0.45">
      <c r="A503" s="360" t="s">
        <v>151</v>
      </c>
      <c r="B503" s="361" t="s">
        <v>169</v>
      </c>
      <c r="C503" s="362"/>
      <c r="D503" s="362"/>
      <c r="E503" s="423" t="s">
        <v>526</v>
      </c>
      <c r="F503" s="362">
        <v>7.5</v>
      </c>
      <c r="G503" s="362"/>
      <c r="H503" s="363"/>
      <c r="I503" s="364">
        <v>10635.55</v>
      </c>
      <c r="J503" s="364">
        <v>10635.55</v>
      </c>
      <c r="K503" s="364">
        <v>10724.18</v>
      </c>
      <c r="L503" s="365">
        <v>1</v>
      </c>
    </row>
    <row r="504" spans="1:12" s="284" customFormat="1" ht="20.399999999999999" x14ac:dyDescent="0.45">
      <c r="A504" s="360" t="s">
        <v>151</v>
      </c>
      <c r="B504" s="361" t="s">
        <v>169</v>
      </c>
      <c r="C504" s="362"/>
      <c r="D504" s="362"/>
      <c r="E504" s="423" t="s">
        <v>526</v>
      </c>
      <c r="F504" s="362">
        <v>7.5</v>
      </c>
      <c r="G504" s="362"/>
      <c r="H504" s="363"/>
      <c r="I504" s="364">
        <v>26033.17</v>
      </c>
      <c r="J504" s="364">
        <v>26033.17</v>
      </c>
      <c r="K504" s="364">
        <v>26250.11</v>
      </c>
      <c r="L504" s="365">
        <v>1</v>
      </c>
    </row>
    <row r="505" spans="1:12" s="283" customFormat="1" ht="20.399999999999999" x14ac:dyDescent="0.45">
      <c r="A505" s="312" t="s">
        <v>174</v>
      </c>
      <c r="B505" s="366"/>
      <c r="C505" s="367"/>
      <c r="D505" s="367"/>
      <c r="E505" s="367"/>
      <c r="F505" s="367"/>
      <c r="G505" s="367"/>
      <c r="H505" s="368"/>
      <c r="I505" s="369">
        <f>SUM(I472:I504)</f>
        <v>1080061.33</v>
      </c>
      <c r="J505" s="369">
        <f t="shared" ref="J505:K505" si="23">SUM(J472:J504)</f>
        <v>1080061.33</v>
      </c>
      <c r="K505" s="369">
        <f t="shared" si="23"/>
        <v>1101180.1499999999</v>
      </c>
      <c r="L505" s="314">
        <f>SUM(L472:L504)</f>
        <v>33</v>
      </c>
    </row>
    <row r="506" spans="1:12" s="285" customFormat="1" ht="6.75" customHeight="1" x14ac:dyDescent="0.3">
      <c r="A506" s="375"/>
      <c r="B506" s="286"/>
      <c r="C506" s="287"/>
      <c r="D506" s="287"/>
      <c r="E506" s="288"/>
      <c r="F506" s="289"/>
      <c r="G506" s="289"/>
      <c r="H506" s="286"/>
      <c r="I506" s="290"/>
      <c r="J506" s="290"/>
      <c r="K506" s="290"/>
      <c r="L506" s="376"/>
    </row>
    <row r="507" spans="1:12" s="284" customFormat="1" ht="24.6" x14ac:dyDescent="0.55000000000000004">
      <c r="A507" s="370" t="s">
        <v>286</v>
      </c>
      <c r="B507" s="371"/>
      <c r="C507" s="371"/>
      <c r="D507" s="371"/>
      <c r="E507" s="371"/>
      <c r="F507" s="371"/>
      <c r="G507" s="371"/>
      <c r="H507" s="372"/>
      <c r="I507" s="373">
        <f>I64+I68+I71+I77+I88+I96+I109+I113+I161+I176+I234+I309+I313+I335+I338+I342+I369+I392+I451+I461+I467+I470+I505</f>
        <v>558142328.06000006</v>
      </c>
      <c r="J507" s="373">
        <f t="shared" ref="J507:L507" si="24">J64+J68+J71+J77+J88+J96+J109+J113+J161+J176+J234+J309+J313+J335+J338+J342+J369+J392+J451+J461+J467+J470+J505</f>
        <v>552067721.8900001</v>
      </c>
      <c r="K507" s="373">
        <f t="shared" si="24"/>
        <v>549155436.25999987</v>
      </c>
      <c r="L507" s="374">
        <f t="shared" si="24"/>
        <v>691</v>
      </c>
    </row>
    <row r="508" spans="1:12" s="278" customFormat="1" ht="6" customHeight="1" x14ac:dyDescent="0.9">
      <c r="A508" s="377"/>
      <c r="B508" s="311"/>
      <c r="C508" s="311"/>
      <c r="D508" s="311"/>
      <c r="E508" s="311"/>
      <c r="F508" s="311"/>
      <c r="G508" s="311"/>
      <c r="H508" s="311"/>
      <c r="I508" s="378"/>
      <c r="J508" s="378"/>
      <c r="K508" s="378"/>
      <c r="L508" s="379"/>
    </row>
    <row r="509" spans="1:12" ht="20.399999999999999" x14ac:dyDescent="0.45">
      <c r="A509" s="380" t="s">
        <v>287</v>
      </c>
      <c r="B509" s="381"/>
      <c r="C509" s="381"/>
      <c r="D509" s="381"/>
      <c r="E509" s="381"/>
      <c r="F509" s="381"/>
      <c r="G509" s="381"/>
      <c r="H509" s="381"/>
      <c r="I509" s="382"/>
      <c r="J509" s="382"/>
      <c r="K509" s="382"/>
      <c r="L509" s="383"/>
    </row>
    <row r="510" spans="1:12" s="278" customFormat="1" ht="15.6" x14ac:dyDescent="0.35">
      <c r="A510" s="384" t="s">
        <v>288</v>
      </c>
      <c r="B510" s="385"/>
      <c r="C510" s="385"/>
      <c r="D510" s="385"/>
      <c r="E510" s="385"/>
      <c r="F510" s="385"/>
      <c r="G510" s="385"/>
      <c r="H510" s="385"/>
      <c r="I510" s="386"/>
      <c r="J510" s="386"/>
      <c r="K510" s="386"/>
      <c r="L510" s="387"/>
    </row>
    <row r="511" spans="1:12" s="278" customFormat="1" ht="6.75" customHeight="1" x14ac:dyDescent="0.35">
      <c r="A511" s="385"/>
      <c r="B511" s="385"/>
      <c r="C511" s="385"/>
      <c r="D511" s="385"/>
      <c r="E511" s="385"/>
      <c r="F511" s="385"/>
      <c r="G511" s="385"/>
      <c r="H511" s="385"/>
      <c r="I511" s="385"/>
      <c r="J511" s="386"/>
      <c r="K511" s="386"/>
      <c r="L511" s="385"/>
    </row>
    <row r="512" spans="1:12" s="278" customFormat="1" ht="6.75" customHeight="1" x14ac:dyDescent="0.35">
      <c r="A512" s="388"/>
      <c r="B512" s="388"/>
      <c r="C512" s="388"/>
      <c r="D512" s="388"/>
      <c r="E512" s="388"/>
      <c r="F512" s="388"/>
      <c r="G512" s="388"/>
      <c r="H512" s="388"/>
      <c r="I512" s="388"/>
      <c r="J512" s="388"/>
      <c r="K512" s="388"/>
      <c r="L512" s="388"/>
    </row>
    <row r="513" spans="1:12" ht="23.4" x14ac:dyDescent="0.5">
      <c r="A513" s="389" t="s">
        <v>289</v>
      </c>
      <c r="B513" s="389"/>
      <c r="C513" s="389"/>
      <c r="D513" s="389"/>
      <c r="E513" s="389"/>
      <c r="F513" s="389"/>
      <c r="G513" s="389"/>
      <c r="H513" s="390"/>
      <c r="I513" s="391"/>
      <c r="J513" s="392">
        <f>J507+J53</f>
        <v>552341520.8900001</v>
      </c>
      <c r="K513" s="392">
        <f>K507+K53</f>
        <v>549517646.15999985</v>
      </c>
      <c r="L513" s="393">
        <f>L507+L53</f>
        <v>758</v>
      </c>
    </row>
    <row r="514" spans="1:12" ht="6.75" customHeight="1" x14ac:dyDescent="0.7">
      <c r="A514" s="394"/>
      <c r="B514" s="394"/>
      <c r="C514" s="394"/>
      <c r="D514" s="394"/>
      <c r="E514" s="394"/>
      <c r="F514" s="394"/>
      <c r="G514" s="394"/>
      <c r="H514" s="394"/>
      <c r="I514" s="395"/>
      <c r="J514" s="395"/>
      <c r="K514" s="394"/>
      <c r="L514" s="394"/>
    </row>
    <row r="515" spans="1:12" x14ac:dyDescent="0.25">
      <c r="A515" s="278"/>
      <c r="B515" s="278"/>
      <c r="C515" s="278"/>
      <c r="D515" s="278"/>
      <c r="E515" s="278"/>
      <c r="F515" s="278"/>
      <c r="G515" s="278"/>
      <c r="H515" s="278"/>
      <c r="I515" s="280"/>
      <c r="J515" s="280"/>
      <c r="K515" s="278"/>
      <c r="L515" s="278"/>
    </row>
    <row r="516" spans="1:12" ht="15.6" x14ac:dyDescent="0.3">
      <c r="K516" s="291"/>
    </row>
    <row r="517" spans="1:12" x14ac:dyDescent="0.25">
      <c r="K517" s="292"/>
    </row>
    <row r="518" spans="1:12" ht="15.6" x14ac:dyDescent="0.3">
      <c r="J518" s="293"/>
      <c r="K518" s="291"/>
    </row>
    <row r="519" spans="1:12" ht="15.6" x14ac:dyDescent="0.3">
      <c r="J519" s="293"/>
      <c r="K519" s="291"/>
    </row>
    <row r="520" spans="1:12" ht="15.6" x14ac:dyDescent="0.3">
      <c r="K520" s="291"/>
    </row>
    <row r="521" spans="1:12" ht="15.6" x14ac:dyDescent="0.3">
      <c r="K521" s="291"/>
    </row>
    <row r="522" spans="1:12" ht="15.6" x14ac:dyDescent="0.3">
      <c r="K522" s="291"/>
    </row>
    <row r="523" spans="1:12" ht="15.6" x14ac:dyDescent="0.3">
      <c r="K523" s="291"/>
    </row>
    <row r="524" spans="1:12" ht="15.6" x14ac:dyDescent="0.3">
      <c r="K524" s="291"/>
    </row>
    <row r="525" spans="1:12" ht="15.6" x14ac:dyDescent="0.3">
      <c r="K525" s="291"/>
    </row>
  </sheetData>
  <mergeCells count="3">
    <mergeCell ref="A1:F1"/>
    <mergeCell ref="A3:L3"/>
    <mergeCell ref="A55:L55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B1326-3257-44C3-911A-B8F014F73466}">
  <sheetPr>
    <pageSetUpPr fitToPage="1"/>
  </sheetPr>
  <dimension ref="A1:G39"/>
  <sheetViews>
    <sheetView zoomScale="69" zoomScaleNormal="69" workbookViewId="0">
      <selection activeCell="L13" sqref="L13"/>
    </sheetView>
  </sheetViews>
  <sheetFormatPr baseColWidth="10" defaultColWidth="12.88671875" defaultRowHeight="13.2" x14ac:dyDescent="0.25"/>
  <cols>
    <col min="1" max="1" width="1.109375" style="294" customWidth="1"/>
    <col min="2" max="2" width="63" style="295" customWidth="1"/>
    <col min="3" max="3" width="34.88671875" style="296" customWidth="1"/>
    <col min="4" max="4" width="14.5546875" style="297" customWidth="1"/>
    <col min="5" max="5" width="14" style="297" customWidth="1"/>
    <col min="6" max="6" width="24.109375" style="296" customWidth="1"/>
    <col min="7" max="7" width="13.109375" style="297" customWidth="1"/>
    <col min="8" max="16384" width="12.88671875" style="294"/>
  </cols>
  <sheetData>
    <row r="1" spans="2:7" ht="4.5" customHeight="1" x14ac:dyDescent="0.25"/>
    <row r="2" spans="2:7" ht="112.5" customHeight="1" x14ac:dyDescent="0.25">
      <c r="B2" s="461" t="s">
        <v>527</v>
      </c>
      <c r="C2" s="461"/>
      <c r="D2" s="396"/>
      <c r="E2" s="397"/>
      <c r="F2" s="398"/>
      <c r="G2" s="397"/>
    </row>
    <row r="3" spans="2:7" ht="19.8" x14ac:dyDescent="0.25">
      <c r="B3" s="399"/>
      <c r="C3" s="398"/>
      <c r="D3" s="397"/>
      <c r="E3" s="397"/>
      <c r="F3" s="398"/>
      <c r="G3" s="397"/>
    </row>
    <row r="4" spans="2:7" ht="25.5" customHeight="1" x14ac:dyDescent="0.25">
      <c r="B4" s="400" t="s">
        <v>40</v>
      </c>
      <c r="C4" s="401" t="s">
        <v>290</v>
      </c>
      <c r="D4" s="402" t="s">
        <v>81</v>
      </c>
      <c r="E4" s="402"/>
      <c r="F4" s="401" t="s">
        <v>291</v>
      </c>
      <c r="G4" s="402" t="s">
        <v>81</v>
      </c>
    </row>
    <row r="5" spans="2:7" ht="19.5" customHeight="1" x14ac:dyDescent="0.45">
      <c r="B5" s="403" t="s">
        <v>292</v>
      </c>
      <c r="C5" s="404"/>
      <c r="D5" s="405"/>
      <c r="E5" s="405"/>
      <c r="F5" s="404"/>
      <c r="G5" s="405"/>
    </row>
    <row r="6" spans="2:7" ht="22.5" customHeight="1" x14ac:dyDescent="0.25">
      <c r="B6" s="406" t="s">
        <v>293</v>
      </c>
      <c r="C6" s="407">
        <v>242799</v>
      </c>
      <c r="D6" s="408">
        <f t="shared" ref="D6:D7" si="0">(C6/$C$37)*100</f>
        <v>4.3958129312598591E-2</v>
      </c>
      <c r="E6" s="408"/>
      <c r="F6" s="407">
        <v>326709.90000000002</v>
      </c>
      <c r="G6" s="408">
        <f t="shared" ref="G6:G7" si="1">(F6/$F$37)*100</f>
        <v>5.9453941521811257E-2</v>
      </c>
    </row>
    <row r="7" spans="2:7" ht="22.5" customHeight="1" x14ac:dyDescent="0.25">
      <c r="B7" s="406" t="s">
        <v>317</v>
      </c>
      <c r="C7" s="407">
        <v>13000</v>
      </c>
      <c r="D7" s="408">
        <f t="shared" si="0"/>
        <v>2.3536162878091821E-3</v>
      </c>
      <c r="E7" s="408"/>
      <c r="F7" s="407">
        <v>13000</v>
      </c>
      <c r="G7" s="408">
        <f t="shared" si="1"/>
        <v>2.3657111087957432E-3</v>
      </c>
    </row>
    <row r="8" spans="2:7" ht="22.5" customHeight="1" x14ac:dyDescent="0.25">
      <c r="B8" s="406" t="s">
        <v>320</v>
      </c>
      <c r="C8" s="407">
        <v>18000</v>
      </c>
      <c r="D8" s="408">
        <f>(C8/$C$37)*100</f>
        <v>3.2588533215819446E-3</v>
      </c>
      <c r="E8" s="408"/>
      <c r="F8" s="407">
        <v>22500</v>
      </c>
      <c r="G8" s="408">
        <f>(F8/$F$37)*100</f>
        <v>4.0944999959926327E-3</v>
      </c>
    </row>
    <row r="9" spans="2:7" ht="18.75" customHeight="1" x14ac:dyDescent="0.25">
      <c r="B9" s="409"/>
      <c r="C9" s="410">
        <f>SUM(C6:C8)</f>
        <v>273799</v>
      </c>
      <c r="D9" s="411"/>
      <c r="E9" s="411"/>
      <c r="F9" s="410">
        <f>SUM(F6:F8)</f>
        <v>362209.9</v>
      </c>
      <c r="G9" s="408"/>
    </row>
    <row r="10" spans="2:7" ht="7.5" customHeight="1" x14ac:dyDescent="0.25">
      <c r="B10" s="412"/>
      <c r="C10" s="413"/>
      <c r="D10" s="414"/>
      <c r="E10" s="414"/>
      <c r="F10" s="413"/>
      <c r="G10" s="414"/>
    </row>
    <row r="11" spans="2:7" ht="15.75" customHeight="1" x14ac:dyDescent="0.45">
      <c r="B11" s="403" t="s">
        <v>294</v>
      </c>
      <c r="C11" s="413"/>
      <c r="D11" s="414"/>
      <c r="E11" s="414"/>
      <c r="F11" s="413"/>
      <c r="G11" s="415"/>
    </row>
    <row r="12" spans="2:7" ht="22.5" customHeight="1" x14ac:dyDescent="0.25">
      <c r="B12" s="406" t="s">
        <v>167</v>
      </c>
      <c r="C12" s="407">
        <v>5776859.0999999996</v>
      </c>
      <c r="D12" s="408">
        <f t="shared" ref="D12:D34" si="2">(C12/$C$37)*100</f>
        <v>1.0458853592414381</v>
      </c>
      <c r="E12" s="408"/>
      <c r="F12" s="407">
        <v>5478852.3600000003</v>
      </c>
      <c r="G12" s="408">
        <f t="shared" ref="G12:G34" si="3">(F12/$F$37)*100</f>
        <v>0.99702937626952104</v>
      </c>
    </row>
    <row r="13" spans="2:7" ht="22.5" customHeight="1" x14ac:dyDescent="0.25">
      <c r="B13" s="406" t="s">
        <v>175</v>
      </c>
      <c r="C13" s="407">
        <v>26100</v>
      </c>
      <c r="D13" s="408">
        <f t="shared" si="2"/>
        <v>4.7253373162938206E-3</v>
      </c>
      <c r="E13" s="408"/>
      <c r="F13" s="407">
        <v>23602.400000000001</v>
      </c>
      <c r="G13" s="408">
        <f t="shared" si="3"/>
        <v>4.2951122980185111E-3</v>
      </c>
    </row>
    <row r="14" spans="2:7" ht="22.5" customHeight="1" x14ac:dyDescent="0.25">
      <c r="B14" s="406" t="s">
        <v>327</v>
      </c>
      <c r="C14" s="407">
        <v>500000</v>
      </c>
      <c r="D14" s="408">
        <f t="shared" si="2"/>
        <v>9.0523703377276235E-2</v>
      </c>
      <c r="E14" s="408"/>
      <c r="F14" s="407">
        <v>500742.9</v>
      </c>
      <c r="G14" s="408">
        <f t="shared" si="3"/>
        <v>9.1124080090815074E-2</v>
      </c>
    </row>
    <row r="15" spans="2:7" ht="22.5" customHeight="1" x14ac:dyDescent="0.25">
      <c r="B15" s="406" t="s">
        <v>179</v>
      </c>
      <c r="C15" s="407">
        <v>60100.75</v>
      </c>
      <c r="D15" s="408">
        <f t="shared" si="2"/>
        <v>1.088108493150367E-2</v>
      </c>
      <c r="E15" s="408"/>
      <c r="F15" s="407">
        <v>44791.47</v>
      </c>
      <c r="G15" s="408">
        <f t="shared" si="3"/>
        <v>8.1510521660224048E-3</v>
      </c>
    </row>
    <row r="16" spans="2:7" ht="22.5" customHeight="1" x14ac:dyDescent="0.25">
      <c r="B16" s="406" t="s">
        <v>180</v>
      </c>
      <c r="C16" s="407">
        <v>3334249.46</v>
      </c>
      <c r="D16" s="408">
        <f t="shared" si="2"/>
        <v>0.60365721820576701</v>
      </c>
      <c r="E16" s="408"/>
      <c r="F16" s="407">
        <v>2921592.4700000007</v>
      </c>
      <c r="G16" s="408">
        <f t="shared" si="3"/>
        <v>0.53166490474253814</v>
      </c>
    </row>
    <row r="17" spans="2:7" ht="22.5" customHeight="1" x14ac:dyDescent="0.25">
      <c r="B17" s="406" t="s">
        <v>182</v>
      </c>
      <c r="C17" s="407">
        <v>107970</v>
      </c>
      <c r="D17" s="408">
        <f t="shared" si="2"/>
        <v>1.9547688507289031E-2</v>
      </c>
      <c r="E17" s="408"/>
      <c r="F17" s="407">
        <v>75323.8</v>
      </c>
      <c r="G17" s="408">
        <f t="shared" si="3"/>
        <v>1.3707257724362215E-2</v>
      </c>
    </row>
    <row r="18" spans="2:7" ht="22.5" customHeight="1" x14ac:dyDescent="0.25">
      <c r="B18" s="406" t="s">
        <v>183</v>
      </c>
      <c r="C18" s="407">
        <v>155965000</v>
      </c>
      <c r="D18" s="408">
        <f t="shared" si="2"/>
        <v>28.237058794473779</v>
      </c>
      <c r="E18" s="408"/>
      <c r="F18" s="407">
        <v>155673603.35000002</v>
      </c>
      <c r="G18" s="408">
        <f t="shared" si="3"/>
        <v>28.329136368565944</v>
      </c>
    </row>
    <row r="19" spans="2:7" ht="22.5" customHeight="1" x14ac:dyDescent="0.25">
      <c r="B19" s="406" t="s">
        <v>192</v>
      </c>
      <c r="C19" s="407">
        <v>700000</v>
      </c>
      <c r="D19" s="408">
        <f t="shared" si="2"/>
        <v>0.12673318472818676</v>
      </c>
      <c r="E19" s="408"/>
      <c r="F19" s="407">
        <v>668647.74</v>
      </c>
      <c r="G19" s="408">
        <f t="shared" si="3"/>
        <v>0.12167902972224368</v>
      </c>
    </row>
    <row r="20" spans="2:7" ht="22.5" customHeight="1" x14ac:dyDescent="0.25">
      <c r="B20" s="406" t="s">
        <v>197</v>
      </c>
      <c r="C20" s="407">
        <v>11810746.4</v>
      </c>
      <c r="D20" s="408">
        <f t="shared" si="2"/>
        <v>2.1383050075556667</v>
      </c>
      <c r="E20" s="408"/>
      <c r="F20" s="407">
        <v>11766977.800000001</v>
      </c>
      <c r="G20" s="408">
        <f t="shared" si="3"/>
        <v>2.141328469108684</v>
      </c>
    </row>
    <row r="21" spans="2:7" ht="22.5" customHeight="1" x14ac:dyDescent="0.25">
      <c r="B21" s="406" t="s">
        <v>199</v>
      </c>
      <c r="C21" s="407">
        <v>9225086.0300000012</v>
      </c>
      <c r="D21" s="408">
        <f t="shared" si="2"/>
        <v>1.6701779028191501</v>
      </c>
      <c r="E21" s="408"/>
      <c r="F21" s="407">
        <v>8967742.0999999996</v>
      </c>
      <c r="G21" s="408">
        <f t="shared" si="3"/>
        <v>1.6319297774450201</v>
      </c>
    </row>
    <row r="22" spans="2:7" ht="22.5" customHeight="1" x14ac:dyDescent="0.25">
      <c r="B22" s="406" t="s">
        <v>200</v>
      </c>
      <c r="C22" s="407">
        <v>8061434.2999999998</v>
      </c>
      <c r="D22" s="408">
        <f t="shared" si="2"/>
        <v>1.4595017747372012</v>
      </c>
      <c r="E22" s="408"/>
      <c r="F22" s="407">
        <v>6982489.0000000009</v>
      </c>
      <c r="G22" s="408">
        <f t="shared" si="3"/>
        <v>1.2706578303341602</v>
      </c>
    </row>
    <row r="23" spans="2:7" ht="22.5" customHeight="1" x14ac:dyDescent="0.25">
      <c r="B23" s="406" t="s">
        <v>226</v>
      </c>
      <c r="C23" s="407">
        <v>12445554</v>
      </c>
      <c r="D23" s="408">
        <f t="shared" si="2"/>
        <v>2.2532352773237476</v>
      </c>
      <c r="E23" s="408"/>
      <c r="F23" s="407">
        <v>11969116.34</v>
      </c>
      <c r="G23" s="408">
        <f t="shared" si="3"/>
        <v>2.1781131913851266</v>
      </c>
    </row>
    <row r="24" spans="2:7" ht="22.5" customHeight="1" x14ac:dyDescent="0.25">
      <c r="B24" s="406" t="s">
        <v>433</v>
      </c>
      <c r="C24" s="407">
        <v>111157</v>
      </c>
      <c r="D24" s="408">
        <f t="shared" si="2"/>
        <v>2.0124686592615789E-2</v>
      </c>
      <c r="E24" s="408"/>
      <c r="F24" s="407">
        <v>110879.45000000001</v>
      </c>
      <c r="G24" s="408">
        <f t="shared" si="3"/>
        <v>2.0177595892474014E-2</v>
      </c>
    </row>
    <row r="25" spans="2:7" ht="22.5" customHeight="1" x14ac:dyDescent="0.25">
      <c r="B25" s="406" t="s">
        <v>248</v>
      </c>
      <c r="C25" s="407">
        <v>1393310</v>
      </c>
      <c r="D25" s="408">
        <f t="shared" si="2"/>
        <v>0.25225516230518552</v>
      </c>
      <c r="E25" s="408"/>
      <c r="F25" s="407">
        <v>1388393.88</v>
      </c>
      <c r="G25" s="408">
        <f t="shared" si="3"/>
        <v>0.25265683271538641</v>
      </c>
    </row>
    <row r="26" spans="2:7" ht="22.5" customHeight="1" x14ac:dyDescent="0.25">
      <c r="B26" s="406" t="s">
        <v>457</v>
      </c>
      <c r="C26" s="407">
        <v>10000</v>
      </c>
      <c r="D26" s="408">
        <f t="shared" si="2"/>
        <v>1.8104740675455248E-3</v>
      </c>
      <c r="E26" s="408"/>
      <c r="F26" s="407">
        <v>9564.24</v>
      </c>
      <c r="G26" s="408">
        <f t="shared" si="3"/>
        <v>1.7404791396298921E-3</v>
      </c>
    </row>
    <row r="27" spans="2:7" ht="22.5" customHeight="1" x14ac:dyDescent="0.25">
      <c r="B27" s="406" t="s">
        <v>251</v>
      </c>
      <c r="C27" s="407">
        <v>2503000</v>
      </c>
      <c r="D27" s="408">
        <f t="shared" si="2"/>
        <v>0.45316165910664491</v>
      </c>
      <c r="E27" s="408"/>
      <c r="F27" s="407">
        <v>2503000</v>
      </c>
      <c r="G27" s="408">
        <f t="shared" si="3"/>
        <v>0.45549037733198039</v>
      </c>
    </row>
    <row r="28" spans="2:7" ht="22.5" customHeight="1" x14ac:dyDescent="0.25">
      <c r="B28" s="406" t="s">
        <v>255</v>
      </c>
      <c r="C28" s="407">
        <v>122910612.34999999</v>
      </c>
      <c r="D28" s="408">
        <f t="shared" si="2"/>
        <v>22.25264762858157</v>
      </c>
      <c r="E28" s="408"/>
      <c r="F28" s="407">
        <v>122960451.72</v>
      </c>
      <c r="G28" s="408">
        <f t="shared" si="3"/>
        <v>22.376069736657435</v>
      </c>
    </row>
    <row r="29" spans="2:7" ht="22.5" customHeight="1" x14ac:dyDescent="0.25">
      <c r="B29" s="406" t="s">
        <v>263</v>
      </c>
      <c r="C29" s="407">
        <v>40134000</v>
      </c>
      <c r="D29" s="408">
        <f t="shared" si="2"/>
        <v>7.2661566226872099</v>
      </c>
      <c r="E29" s="408"/>
      <c r="F29" s="407">
        <v>40134453.649999999</v>
      </c>
      <c r="G29" s="408">
        <f t="shared" si="3"/>
        <v>7.3035786804040654</v>
      </c>
    </row>
    <row r="30" spans="2:7" ht="22.5" customHeight="1" x14ac:dyDescent="0.25">
      <c r="B30" s="406" t="s">
        <v>273</v>
      </c>
      <c r="C30" s="407">
        <v>172997703.47000003</v>
      </c>
      <c r="D30" s="408">
        <f t="shared" si="2"/>
        <v>31.320785587736548</v>
      </c>
      <c r="E30" s="408"/>
      <c r="F30" s="407">
        <v>173168580.87</v>
      </c>
      <c r="G30" s="408">
        <f t="shared" si="3"/>
        <v>31.512833496811769</v>
      </c>
    </row>
    <row r="31" spans="2:7" ht="22.5" customHeight="1" x14ac:dyDescent="0.25">
      <c r="B31" s="406" t="s">
        <v>281</v>
      </c>
      <c r="C31" s="407">
        <v>2410639.09</v>
      </c>
      <c r="D31" s="408">
        <f t="shared" si="2"/>
        <v>0.43643995586565426</v>
      </c>
      <c r="E31" s="408"/>
      <c r="F31" s="407">
        <v>2214359.13</v>
      </c>
      <c r="G31" s="408">
        <f t="shared" si="3"/>
        <v>0.40296415328494439</v>
      </c>
    </row>
    <row r="32" spans="2:7" ht="22.5" customHeight="1" x14ac:dyDescent="0.25">
      <c r="B32" s="406" t="s">
        <v>285</v>
      </c>
      <c r="C32" s="407">
        <v>500932.61</v>
      </c>
      <c r="D32" s="408">
        <f t="shared" si="2"/>
        <v>9.0692549999289607E-2</v>
      </c>
      <c r="E32" s="408"/>
      <c r="F32" s="407">
        <v>488053.43</v>
      </c>
      <c r="G32" s="408">
        <f t="shared" si="3"/>
        <v>8.881487854129734E-2</v>
      </c>
    </row>
    <row r="33" spans="1:7" ht="22.5" customHeight="1" x14ac:dyDescent="0.25">
      <c r="B33" s="406" t="s">
        <v>506</v>
      </c>
      <c r="C33" s="407">
        <v>3206</v>
      </c>
      <c r="D33" s="408">
        <f t="shared" si="2"/>
        <v>5.8043798605509527E-4</v>
      </c>
      <c r="E33" s="408"/>
      <c r="F33" s="407">
        <v>3038.01</v>
      </c>
      <c r="G33" s="408">
        <f t="shared" si="3"/>
        <v>5.5285030812558117E-4</v>
      </c>
    </row>
    <row r="34" spans="1:7" ht="22.5" customHeight="1" x14ac:dyDescent="0.25">
      <c r="B34" s="406" t="s">
        <v>509</v>
      </c>
      <c r="C34" s="407">
        <v>1080061.33</v>
      </c>
      <c r="D34" s="408">
        <f t="shared" si="2"/>
        <v>0.19554230293237296</v>
      </c>
      <c r="E34" s="408"/>
      <c r="F34" s="407">
        <v>1101180.1499999999</v>
      </c>
      <c r="G34" s="408">
        <f t="shared" si="3"/>
        <v>0.20039031643387401</v>
      </c>
    </row>
    <row r="35" spans="1:7" ht="22.5" customHeight="1" x14ac:dyDescent="0.25">
      <c r="B35" s="406"/>
      <c r="C35" s="410">
        <f>SUM(C12:C34)</f>
        <v>552067721.8900001</v>
      </c>
      <c r="D35" s="408"/>
      <c r="E35" s="408"/>
      <c r="F35" s="410">
        <f>SUM(F12:F34)</f>
        <v>549155436.25999987</v>
      </c>
      <c r="G35" s="408"/>
    </row>
    <row r="36" spans="1:7" x14ac:dyDescent="0.25">
      <c r="C36" s="298"/>
      <c r="F36" s="298"/>
    </row>
    <row r="37" spans="1:7" ht="24.6" x14ac:dyDescent="0.25">
      <c r="B37" s="416" t="s">
        <v>295</v>
      </c>
      <c r="C37" s="417">
        <f>C35+C9</f>
        <v>552341520.8900001</v>
      </c>
      <c r="D37" s="418">
        <f>(C37/$C$37)*100</f>
        <v>100</v>
      </c>
      <c r="E37" s="419"/>
      <c r="F37" s="417">
        <f>F35+F9</f>
        <v>549517646.15999985</v>
      </c>
      <c r="G37" s="418">
        <f>(F37/F37)*100</f>
        <v>100</v>
      </c>
    </row>
    <row r="39" spans="1:7" s="296" customFormat="1" x14ac:dyDescent="0.25">
      <c r="A39" s="294"/>
      <c r="B39" s="295"/>
      <c r="D39" s="297"/>
      <c r="E39" s="297"/>
      <c r="F39" s="299"/>
      <c r="G39" s="297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Año'!Área_de_impresión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2024-03-04T22:03:26Z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